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6" activeTab="0"/>
  </bookViews>
  <sheets>
    <sheet name="Geral" sheetId="1" r:id="rId1"/>
    <sheet name="Plan3" sheetId="2" state="hidden" r:id="rId2"/>
    <sheet name="ADM" sheetId="3" r:id="rId3"/>
    <sheet name="CON" sheetId="4" r:id="rId4"/>
    <sheet name="CAN" sheetId="5" r:id="rId5"/>
    <sheet name="CLI" sheetId="6" r:id="rId6"/>
    <sheet name="POS" sheetId="7" r:id="rId7"/>
    <sheet name="MAT" sheetId="8" r:id="rId8"/>
    <sheet name="ADO" sheetId="9" r:id="rId9"/>
    <sheet name="ISO" sheetId="10" r:id="rId10"/>
    <sheet name="TRE" sheetId="11" r:id="rId11"/>
    <sheet name="EST" sheetId="12" r:id="rId12"/>
    <sheet name="Cronograma" sheetId="13" r:id="rId13"/>
  </sheets>
  <definedNames>
    <definedName name="_xlnm.Print_Area" localSheetId="2">'ADM'!$A$1:$K$210</definedName>
    <definedName name="_xlnm.Print_Titles" localSheetId="2">'ADM'!$1:$10</definedName>
    <definedName name="_xlnm.Print_Area" localSheetId="8">'ADO'!$A$1:$K$159</definedName>
    <definedName name="_xlnm.Print_Titles" localSheetId="8">'ADO'!$1:$10</definedName>
    <definedName name="_xlnm.Print_Area" localSheetId="4">'CAN'!$A$1:$K$205</definedName>
    <definedName name="_xlnm.Print_Titles" localSheetId="4">'CAN'!$1:$10</definedName>
    <definedName name="_xlnm.Print_Area" localSheetId="5">'CLI'!$A$1:$K$218</definedName>
    <definedName name="_xlnm.Print_Titles" localSheetId="5">'CLI'!$1:$10</definedName>
    <definedName name="_xlnm.Print_Area" localSheetId="3">'CON'!$A$1:$K$245</definedName>
    <definedName name="_xlnm.Print_Titles" localSheetId="3">'CON'!$1:$10</definedName>
    <definedName name="_xlnm.Print_Area" localSheetId="12">'Cronograma'!$A$1:$L$44</definedName>
    <definedName name="_xlnm.Print_Area" localSheetId="11">'EST'!$A$1:$K$96</definedName>
    <definedName name="_xlnm.Print_Titles" localSheetId="11">'EST'!$1:$10</definedName>
    <definedName name="_xlnm.Print_Area" localSheetId="0">'Geral'!$A$11:$K$290</definedName>
    <definedName name="_xlnm.Print_Titles" localSheetId="0">'Geral'!$1:$10</definedName>
    <definedName name="_xlnm.Print_Area" localSheetId="9">'ISO'!$A$1:$K$157</definedName>
    <definedName name="_xlnm.Print_Titles" localSheetId="9">'ISO'!$1:$10</definedName>
    <definedName name="_xlnm.Print_Area" localSheetId="7">'MAT'!$A$1:$K$161</definedName>
    <definedName name="_xlnm.Print_Titles" localSheetId="7">'MAT'!$1:$10</definedName>
    <definedName name="_xlnm.Print_Area" localSheetId="6">'POS'!$A$1:$K$159</definedName>
    <definedName name="_xlnm.Print_Titles" localSheetId="6">'POS'!$1:$10</definedName>
    <definedName name="_xlnm.Print_Area" localSheetId="10">'TRE'!$A$1:$K$94</definedName>
    <definedName name="_xlnm.Print_Titles" localSheetId="10">'TRE'!$1:$10</definedName>
    <definedName name="_xlnm.Print_Area">'ADM'!$A$1:$K$210</definedName>
    <definedName name="_xlnm.Print_Area_1">'ADO'!$A$1:$K$159</definedName>
    <definedName name="_xlnm.Print_Area_10">'POS'!$A$1:$K$159</definedName>
    <definedName name="_xlnm.Print_Area_11">'TRE'!$A$1:$K$94</definedName>
    <definedName name="_xlnm.Print_Area_2">'CAN'!$A$1:$K$205</definedName>
    <definedName name="_xlnm.Print_Area_3">'CLI'!$A$1:$K$218</definedName>
    <definedName name="_xlnm.Print_Area_4">'CON'!$A$1:$K$245</definedName>
    <definedName name="_xlnm.Print_Area_5">'Cronograma'!$A$1:$L$44</definedName>
    <definedName name="_xlnm.Print_Area_6">'EST'!$A$1:$K$96</definedName>
    <definedName name="_xlnm.Print_Area_7">'Geral'!$A$11:$K$290</definedName>
    <definedName name="_xlnm.Print_Area_8">'ISO'!$A$1:$K$157</definedName>
    <definedName name="_xlnm.Print_Area_9">'MAT'!$A$1:$K$161</definedName>
    <definedName name="_xlnm.Print_Titles">'ADM'!$1:$10</definedName>
    <definedName name="_xlnm.Print_Titles_1">'ADO'!$1:$10</definedName>
    <definedName name="_xlnm.Print_Titles_10">'TRE'!$1:$10</definedName>
    <definedName name="_xlnm.Print_Titles_2">'CAN'!$1:$10</definedName>
    <definedName name="_xlnm.Print_Titles_3">'CLI'!$1:$10</definedName>
    <definedName name="_xlnm.Print_Titles_4">'CON'!$1:$10</definedName>
    <definedName name="_xlnm.Print_Titles_5">'EST'!$1:$10</definedName>
    <definedName name="_xlnm.Print_Titles_6">'Geral'!$1:$10</definedName>
    <definedName name="_xlnm.Print_Titles_7">'ISO'!$1:$10</definedName>
    <definedName name="_xlnm.Print_Titles_8">'MAT'!$1:$10</definedName>
    <definedName name="_xlnm.Print_Titles_9">'POS'!$1:$10</definedName>
  </definedNames>
  <calcPr fullCalcOnLoad="1"/>
</workbook>
</file>

<file path=xl/sharedStrings.xml><?xml version="1.0" encoding="utf-8"?>
<sst xmlns="http://schemas.openxmlformats.org/spreadsheetml/2006/main" count="5635" uniqueCount="927">
  <si>
    <t xml:space="preserve">ORÇAMENTO ESTIMATIVO DE OBRA </t>
  </si>
  <si>
    <t>OBRA: CENTRO DE TREINAMENTO CÃO-GUIA - CONJUNTO</t>
  </si>
  <si>
    <r>
      <t>LDI</t>
    </r>
    <r>
      <rPr>
        <sz val="9"/>
        <rFont val="Arial"/>
        <family val="2"/>
      </rPr>
      <t>:</t>
    </r>
  </si>
  <si>
    <r>
      <t>Área Construída</t>
    </r>
    <r>
      <rPr>
        <sz val="9"/>
        <color indexed="8"/>
        <rFont val="Arial"/>
        <family val="2"/>
      </rPr>
      <t>:  2040,28m²</t>
    </r>
  </si>
  <si>
    <r>
      <t>Local</t>
    </r>
    <r>
      <rPr>
        <sz val="9"/>
        <color indexed="8"/>
        <rFont val="Arial"/>
        <family val="2"/>
      </rPr>
      <t>:</t>
    </r>
  </si>
  <si>
    <r>
      <t>Resp. Técnico</t>
    </r>
    <r>
      <rPr>
        <sz val="9"/>
        <color indexed="8"/>
        <rFont val="Arial"/>
        <family val="2"/>
      </rPr>
      <t>:</t>
    </r>
  </si>
  <si>
    <t>ITEM</t>
  </si>
  <si>
    <t>REFERÊNCIA</t>
  </si>
  <si>
    <t>DESCRIÇÃO</t>
  </si>
  <si>
    <t>UNID.</t>
  </si>
  <si>
    <t>QUANTID.</t>
  </si>
  <si>
    <t>MÃO DE OBRA</t>
  </si>
  <si>
    <t>MATERIAL</t>
  </si>
  <si>
    <t>TOTAL</t>
  </si>
  <si>
    <t>TOTAL C/ LDI</t>
  </si>
  <si>
    <t>CUSTO UNIT.</t>
  </si>
  <si>
    <t>CUSTO TOTAL</t>
  </si>
  <si>
    <t>S/ LDI</t>
  </si>
  <si>
    <t>1.</t>
  </si>
  <si>
    <t>SERVIÇOS INICIAIS</t>
  </si>
  <si>
    <t>1.1</t>
  </si>
  <si>
    <t>74209/001</t>
  </si>
  <si>
    <t>Placa de obra em chapa de aço galvanizado</t>
  </si>
  <si>
    <t>m²</t>
  </si>
  <si>
    <t>1.2</t>
  </si>
  <si>
    <t>Limpeza  mecanizada de terreno</t>
  </si>
  <si>
    <t>1.3</t>
  </si>
  <si>
    <t>73752/001</t>
  </si>
  <si>
    <t>Sanitário com 4m², dois módulos de vaso e chuveiro, paredes em tábuas de pinho, coberta em telha de amianto 6mm, incluso insatalações, aparelhos, esquadrias e ferragens.</t>
  </si>
  <si>
    <t>unid</t>
  </si>
  <si>
    <t>1.4</t>
  </si>
  <si>
    <t>73803/001</t>
  </si>
  <si>
    <t>Galpão aberto provisório em madeira, cobertura em telha de fibrocimento 6mm, incluso preparo do terreno</t>
  </si>
  <si>
    <t>1.5</t>
  </si>
  <si>
    <t>74210/001</t>
  </si>
  <si>
    <t>Barracão para depósito em tábuas de madeira, cobertura em fibrocimento 4mm, incluso piso argamassa traço 1:6 (cimento e areia)</t>
  </si>
  <si>
    <t>1.6</t>
  </si>
  <si>
    <t>Ligação Provisória de Água</t>
  </si>
  <si>
    <t>1.7</t>
  </si>
  <si>
    <t>73960/001</t>
  </si>
  <si>
    <t>Instal/ligação provisória elétrica baixa tensão p/cant obra obra, m3-chave 100A carga 3Kwh, 20cv excl forn medidor</t>
  </si>
  <si>
    <t>1.8</t>
  </si>
  <si>
    <t>73992/001</t>
  </si>
  <si>
    <t>Locação convencional de obra, através de gabarito de tábuas corridas pontaletadas a cada 1,50m, sem reaproveitamento</t>
  </si>
  <si>
    <t>1.9</t>
  </si>
  <si>
    <t>Administração</t>
  </si>
  <si>
    <t>1.10</t>
  </si>
  <si>
    <t>Convivência</t>
  </si>
  <si>
    <t>1.11</t>
  </si>
  <si>
    <t>Canil</t>
  </si>
  <si>
    <t>1.12</t>
  </si>
  <si>
    <t>Clínica veterinária</t>
  </si>
  <si>
    <t>1.13</t>
  </si>
  <si>
    <t>Posto de observação</t>
  </si>
  <si>
    <t>1.14</t>
  </si>
  <si>
    <t>Maternidade</t>
  </si>
  <si>
    <t>1.15</t>
  </si>
  <si>
    <t>Descarte</t>
  </si>
  <si>
    <t>1.16</t>
  </si>
  <si>
    <t>Isolamento</t>
  </si>
  <si>
    <t>1.17</t>
  </si>
  <si>
    <t>Treinamento</t>
  </si>
  <si>
    <t>1.18</t>
  </si>
  <si>
    <t>Estacionamento</t>
  </si>
  <si>
    <t>Total do item 1</t>
  </si>
  <si>
    <t>2.</t>
  </si>
  <si>
    <t>MOVIMENTO DE TERRA</t>
  </si>
  <si>
    <t>2.1</t>
  </si>
  <si>
    <t>74151/001</t>
  </si>
  <si>
    <t>Escavação e carga material 1ª categoria, utilizando trator esteira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</si>
  <si>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</si>
  <si>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</si>
  <si>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</si>
  <si>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</si>
  <si>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</si>
  <si>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</si>
  <si>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</si>
  <si>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</si>
  <si>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</si>
  <si>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</si>
  <si>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Total do item 2</t>
  </si>
  <si>
    <t>3.</t>
  </si>
  <si>
    <t>INFRA-ESTRUTURA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</si>
  <si>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</si>
  <si>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</si>
  <si>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</si>
  <si>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</si>
  <si>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</si>
  <si>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</si>
  <si>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</si>
  <si>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</si>
  <si>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</si>
  <si>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</si>
  <si>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Total do item 3</t>
  </si>
  <si>
    <t>4.</t>
  </si>
  <si>
    <t>SUPERESTRUTURA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</si>
  <si>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</si>
  <si>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</si>
  <si>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</si>
  <si>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</si>
  <si>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</si>
  <si>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</si>
  <si>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</si>
  <si>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</si>
  <si>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</si>
  <si>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</si>
  <si>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Total do item 4</t>
  </si>
  <si>
    <t>5.</t>
  </si>
  <si>
    <t>FECHAMENTOS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</si>
  <si>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</si>
  <si>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</si>
  <si>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</si>
  <si>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</si>
  <si>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</si>
  <si>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</si>
  <si>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</si>
  <si>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</si>
  <si>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</si>
  <si>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</si>
  <si>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Total do item 5</t>
  </si>
  <si>
    <t>6.</t>
  </si>
  <si>
    <t>ESQUADRIAS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</si>
  <si>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</si>
  <si>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</si>
  <si>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</si>
  <si>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</si>
  <si>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</si>
  <si>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</si>
  <si>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</si>
  <si>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</si>
  <si>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</si>
  <si>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</si>
  <si>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Total do item 6</t>
  </si>
  <si>
    <t>7.</t>
  </si>
  <si>
    <t>COBERTURA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</si>
  <si>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</si>
  <si>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</si>
  <si>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</si>
  <si>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</si>
  <si>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</si>
  <si>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</si>
  <si>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</si>
  <si>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</si>
  <si>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</si>
  <si>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</si>
  <si>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Total do item 7</t>
  </si>
  <si>
    <t>8.</t>
  </si>
  <si>
    <t>INSTALAÇÕES ELÉTRICAS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</si>
  <si>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</si>
  <si>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</si>
  <si>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</si>
  <si>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</si>
  <si>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</si>
  <si>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</si>
  <si>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</si>
  <si>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</si>
  <si>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</si>
  <si>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</si>
  <si>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Total do item 8</t>
  </si>
  <si>
    <t>9.</t>
  </si>
  <si>
    <t>INSTALAÇÕES DE LÓGICA E TELEFONE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</si>
  <si>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</si>
  <si>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</si>
  <si>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</si>
  <si>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</si>
  <si>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</si>
  <si>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</si>
  <si>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</si>
  <si>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</si>
  <si>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</si>
  <si>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</si>
  <si>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Total do item 9</t>
  </si>
  <si>
    <t>10.</t>
  </si>
  <si>
    <t>INSTALAÇÕES HIDRO-SANITÁRIAS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</si>
  <si>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</si>
  <si>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</si>
  <si>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</si>
  <si>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</si>
  <si>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</si>
  <si>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</si>
  <si>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</si>
  <si>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</si>
  <si>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</si>
  <si>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</si>
  <si>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</si>
  <si>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Composição</t>
  </si>
  <si>
    <t>Rede de captação e distribuição de águas pluviais</t>
  </si>
  <si>
    <t>10.11.1</t>
  </si>
  <si>
    <t xml:space="preserve">Locação redes de água </t>
  </si>
  <si>
    <t>m</t>
  </si>
  <si>
    <t>10.11.2</t>
  </si>
  <si>
    <t>Poço visita para rede Pluvial diametro 40mm</t>
  </si>
  <si>
    <t>Und.</t>
  </si>
  <si>
    <t>10.11.3</t>
  </si>
  <si>
    <t>74165/004</t>
  </si>
  <si>
    <t>Tubo esgoto DN 100mm p/aguas pluviais</t>
  </si>
  <si>
    <t>10.11.4</t>
  </si>
  <si>
    <t>74168/001</t>
  </si>
  <si>
    <t>Tubo esgoto DN 150mm p/aguas pluviais</t>
  </si>
  <si>
    <t>10.11.5</t>
  </si>
  <si>
    <t>75030/004</t>
  </si>
  <si>
    <t>Tubo Pvc sold. Água 50mm incl. Conexões</t>
  </si>
  <si>
    <t>10.11.6</t>
  </si>
  <si>
    <t>75030/002</t>
  </si>
  <si>
    <t>Tubo Pvc sold. Água 32mm incl. Conexões</t>
  </si>
  <si>
    <t>10.11.7</t>
  </si>
  <si>
    <t>Caixa d'água 5.000L</t>
  </si>
  <si>
    <t>10.11.8</t>
  </si>
  <si>
    <t>Caixa d'água 10.000L</t>
  </si>
  <si>
    <t>10.11.9</t>
  </si>
  <si>
    <t>74058/002</t>
  </si>
  <si>
    <t>Torneira boia p/caixa d'água</t>
  </si>
  <si>
    <t>10.11.10</t>
  </si>
  <si>
    <t>74181/001</t>
  </si>
  <si>
    <t>Registro 50mm</t>
  </si>
  <si>
    <t>10.11.11</t>
  </si>
  <si>
    <t>74183/001</t>
  </si>
  <si>
    <t>Registro 32mm</t>
  </si>
  <si>
    <t>10.11.12</t>
  </si>
  <si>
    <t>Bomba imersão 3CV trifasica</t>
  </si>
  <si>
    <t>10.11.13</t>
  </si>
  <si>
    <t>Contactoras</t>
  </si>
  <si>
    <t>10.11.14</t>
  </si>
  <si>
    <t>Boia elétrica</t>
  </si>
  <si>
    <t>10.11.15</t>
  </si>
  <si>
    <t>Condutor 6,0mm², isolação 750v</t>
  </si>
  <si>
    <t>10.12</t>
  </si>
  <si>
    <t>Rede de captação e distribuição de água potável</t>
  </si>
  <si>
    <t>10.12.1</t>
  </si>
  <si>
    <t>10.12.2</t>
  </si>
  <si>
    <t>10.12.3</t>
  </si>
  <si>
    <t>10.12.4</t>
  </si>
  <si>
    <t>10.12.5</t>
  </si>
  <si>
    <t>Registro de esfera 50mm PVC</t>
  </si>
  <si>
    <t>10.12.6</t>
  </si>
  <si>
    <t>Registro de gaveta 50mm c/canopla</t>
  </si>
  <si>
    <t>10.13</t>
  </si>
  <si>
    <t>Rede de coleta e tratamento de degetos</t>
  </si>
  <si>
    <t>10.13.1</t>
  </si>
  <si>
    <t>Locação redes de esgoto</t>
  </si>
  <si>
    <t>10.13.2</t>
  </si>
  <si>
    <t>Poço visita para rede de esgoto sanitario diametro 0,40m</t>
  </si>
  <si>
    <t>10.13.3</t>
  </si>
  <si>
    <t xml:space="preserve">74104/001 </t>
  </si>
  <si>
    <t>Caixa inspeção em alvenaria 60x60x60cm</t>
  </si>
  <si>
    <t>10.13.4</t>
  </si>
  <si>
    <t xml:space="preserve">Tubo esgoto DN 100mm </t>
  </si>
  <si>
    <t>10.13.5</t>
  </si>
  <si>
    <t>Tanque séptico 2,40x2,50m</t>
  </si>
  <si>
    <t>10.13.6</t>
  </si>
  <si>
    <t>Tanque de aeração 2,00x1,50m</t>
  </si>
  <si>
    <t>10.13.7</t>
  </si>
  <si>
    <t>Tanque de decantação 2,00x2,00m</t>
  </si>
  <si>
    <t>10.13.8</t>
  </si>
  <si>
    <t>Tanque de desinfecção 1,50x2,00</t>
  </si>
  <si>
    <t>10.13.9</t>
  </si>
  <si>
    <t>Soprador CR4 trifásico</t>
  </si>
  <si>
    <t>10.13.10</t>
  </si>
  <si>
    <t>Bomba de 1CV para retorno do lodo -trifasica</t>
  </si>
  <si>
    <t>10.13.11</t>
  </si>
  <si>
    <t>Difusores de 40cm</t>
  </si>
  <si>
    <t>10.13.12</t>
  </si>
  <si>
    <t>10.13.13</t>
  </si>
  <si>
    <t>Disjuntor</t>
  </si>
  <si>
    <t>10.13.14</t>
  </si>
  <si>
    <t>Timers</t>
  </si>
  <si>
    <t>10.13.15</t>
  </si>
  <si>
    <t>Painel controle</t>
  </si>
  <si>
    <t>10.13.16</t>
  </si>
  <si>
    <t>Boia para desinfecção</t>
  </si>
  <si>
    <t>10.13.17</t>
  </si>
  <si>
    <t>Casa de maquina p/CR4 e painel controle</t>
  </si>
  <si>
    <t>Total do item 10</t>
  </si>
  <si>
    <t>11.</t>
  </si>
  <si>
    <t>IMPERMEABILIZAÇÃO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</si>
  <si>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</si>
  <si>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</si>
  <si>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</si>
  <si>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</si>
  <si>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</si>
  <si>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</si>
  <si>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</si>
  <si>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</si>
  <si>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</si>
  <si>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</si>
  <si>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Total do item 11</t>
  </si>
  <si>
    <t>12.</t>
  </si>
  <si>
    <t>INSTALAÇÃO DE COMBATE A INCÊNDIO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</si>
  <si>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</si>
  <si>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</si>
  <si>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</si>
  <si>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</si>
  <si>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</si>
  <si>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</si>
  <si>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</si>
  <si>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</si>
  <si>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</si>
  <si>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</si>
  <si>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Total do item 12</t>
  </si>
  <si>
    <t>13.</t>
  </si>
  <si>
    <t>REVESTIMENTOS</t>
  </si>
  <si>
    <t>13.1</t>
  </si>
  <si>
    <t>Lajota pre-moldada em concreto, 45x45x2,5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</si>
  <si>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</si>
  <si>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</si>
  <si>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</si>
  <si>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</si>
  <si>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</si>
  <si>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</si>
  <si>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</si>
  <si>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</si>
  <si>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</si>
  <si>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</si>
  <si>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Total do item 13</t>
  </si>
  <si>
    <t>14.</t>
  </si>
  <si>
    <t>VIDROS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</si>
  <si>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</si>
  <si>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</si>
  <si>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</si>
  <si>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</si>
  <si>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</si>
  <si>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</si>
  <si>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</si>
  <si>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</si>
  <si>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</si>
  <si>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</si>
  <si>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Total do item 14</t>
  </si>
  <si>
    <t>15.</t>
  </si>
  <si>
    <t>PINTURA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</si>
  <si>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</si>
  <si>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</si>
  <si>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</si>
  <si>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</si>
  <si>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</si>
  <si>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</si>
  <si>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</si>
  <si>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</si>
  <si>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</si>
  <si>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</si>
  <si>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Total do item 15</t>
  </si>
  <si>
    <t>16.</t>
  </si>
  <si>
    <t>PAISAGISMO E URBANIZAÇÃO</t>
  </si>
  <si>
    <t>16.1</t>
  </si>
  <si>
    <t>Regularização e Espalhamento Mecanizado de material de 1ª categoria</t>
  </si>
  <si>
    <t>16.2</t>
  </si>
  <si>
    <t>Colchão de areia, inclusive mão de obra de espalhamento, transporte e fornecimento de material</t>
  </si>
  <si>
    <t>m³</t>
  </si>
  <si>
    <t>16.3</t>
  </si>
  <si>
    <t>73764/002</t>
  </si>
  <si>
    <t xml:space="preserve">Pavimentação em blocos de concreto sextavado espessura 8 cm, assentado sobre colchão de pó de pedra rejunte com argamassa traco 1:4 (cimento e areia) </t>
  </si>
  <si>
    <t>16.4</t>
  </si>
  <si>
    <t>74223/002</t>
  </si>
  <si>
    <t>Meio-fio em pedra granilítica, rejuntado c/argamassa cimento e areia 1:3</t>
  </si>
  <si>
    <t>16.5</t>
  </si>
  <si>
    <t>73892/002</t>
  </si>
  <si>
    <t>Execução de calçada em concreto 1:3:5 (FCK=12MPA) Preparo Mecânico e=7cm</t>
  </si>
  <si>
    <t>16.6</t>
  </si>
  <si>
    <t>Cerca conforme projeto</t>
  </si>
  <si>
    <t>16.6.1</t>
  </si>
  <si>
    <t>Escavação manual de cavas</t>
  </si>
  <si>
    <t>16.6.2</t>
  </si>
  <si>
    <t>74164/004</t>
  </si>
  <si>
    <t>Lastro de brita</t>
  </si>
  <si>
    <t>16.6.3</t>
  </si>
  <si>
    <t>Forma plana p/fundações e baldrame em chapa resinada e=10mm</t>
  </si>
  <si>
    <t>16.6.4</t>
  </si>
  <si>
    <t>Concreto armado, fck 18Mpa e 77kg/m³ de aço, incluindo lançamento</t>
  </si>
  <si>
    <t>16.6.5</t>
  </si>
  <si>
    <t>Mourão de concreto pré-moldado 10X10cm, h=3m, para cercas</t>
  </si>
  <si>
    <t>uni</t>
  </si>
  <si>
    <t>16.6.6</t>
  </si>
  <si>
    <t>73964/004</t>
  </si>
  <si>
    <t>Reaterro de valas/cavas, compactada e maço, em camadas de até 30cm</t>
  </si>
  <si>
    <t>16.6.7</t>
  </si>
  <si>
    <t>74233/001</t>
  </si>
  <si>
    <t>Fundo selador acrílico, ambientes externos, uma demão</t>
  </si>
  <si>
    <t>16.6.8</t>
  </si>
  <si>
    <t>73954/002</t>
  </si>
  <si>
    <t>Pintura latex acrílica ambientes externos, duas demãos</t>
  </si>
  <si>
    <t>16.6.9</t>
  </si>
  <si>
    <t>Tela arame galv fio 12bwg malha 8x8cm quadrada</t>
  </si>
  <si>
    <t>16.6.10</t>
  </si>
  <si>
    <t>Pedreiro</t>
  </si>
  <si>
    <t>h</t>
  </si>
  <si>
    <t>16.6.11</t>
  </si>
  <si>
    <t>Ajudante de pedreiro</t>
  </si>
  <si>
    <t>16.6.12</t>
  </si>
  <si>
    <t>Servente</t>
  </si>
  <si>
    <t>16.7</t>
  </si>
  <si>
    <t>73823/001</t>
  </si>
  <si>
    <t>Portão em chapa de fero e tela, inclusive pintura e pilares de apoio, para veículos</t>
  </si>
  <si>
    <t>unid.</t>
  </si>
  <si>
    <t>16.8</t>
  </si>
  <si>
    <t>73823/002</t>
  </si>
  <si>
    <t>Portão em chapa de fero e tela, inclusive pintura e pilares de apoio, para pedestres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</si>
  <si>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</si>
  <si>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</si>
  <si>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</si>
  <si>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</si>
  <si>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</si>
  <si>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</si>
  <si>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</si>
  <si>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</si>
  <si>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</si>
  <si>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</si>
  <si>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Total do item 16</t>
  </si>
  <si>
    <t>17.</t>
  </si>
  <si>
    <t>COMPLEMENTAÇÃO DA OBRA</t>
  </si>
  <si>
    <t>17.1</t>
  </si>
  <si>
    <t>Limpeza permanente da obra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</si>
  <si>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</si>
  <si>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</si>
  <si>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</si>
  <si>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</si>
  <si>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</si>
  <si>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</si>
  <si>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</si>
  <si>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</si>
  <si>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</si>
  <si>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</si>
  <si>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</si>
  <si>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Ligação definitiva de água</t>
  </si>
  <si>
    <t>17.13</t>
  </si>
  <si>
    <t>Ligação definitiva de energia elétrica</t>
  </si>
  <si>
    <t>Total do item 17</t>
  </si>
  <si>
    <t>Total Geral</t>
  </si>
  <si>
    <t>OBRA: CENTRO DE TREINAMENTO CÃO-GUIA - ADMINISTRAÇÃO</t>
  </si>
  <si>
    <r>
      <t>Área Construída</t>
    </r>
    <r>
      <rPr>
        <sz val="9"/>
        <color indexed="8"/>
        <rFont val="Arial"/>
        <family val="2"/>
      </rPr>
      <t>:  370,04m² (2040,28m²)</t>
    </r>
  </si>
  <si>
    <t>74153/001</t>
  </si>
  <si>
    <t>Espalhamento mecanizado material 1ª categoria</t>
  </si>
  <si>
    <t>2.2</t>
  </si>
  <si>
    <t>Escavação mecânica de val em material de 2ª categoria até 2m de profundidade com utilização de escavadeira hidráulico</t>
  </si>
  <si>
    <t>74015/001</t>
  </si>
  <si>
    <t>Reatero e compactação</t>
  </si>
  <si>
    <t>74009/001</t>
  </si>
  <si>
    <t>Regularização e  compactação</t>
  </si>
  <si>
    <t>Impermeabilização do baldrame (Emulsão asfaltica)</t>
  </si>
  <si>
    <t>73972/001</t>
  </si>
  <si>
    <t>Concreto estrutural FCK=25MPa para sapata e colarinho</t>
  </si>
  <si>
    <t>74157/001</t>
  </si>
  <si>
    <t>Lançamento e adensamento de concreto em sapata e colarinho</t>
  </si>
  <si>
    <t>Lastro de brita sapata fundação e=5cm</t>
  </si>
  <si>
    <t>Contrapiso em concreto impermeabilizado e=10cm</t>
  </si>
  <si>
    <t>Lançamento e adençamento de concreto em contrapiso</t>
  </si>
  <si>
    <t>Forma para sapata e colarinho incluindo montagem</t>
  </si>
  <si>
    <t>74254/001 - 002</t>
  </si>
  <si>
    <t>Armação de sapata e colarinho aço CA-50 form., corte c/ 10%, dobra e colocação</t>
  </si>
  <si>
    <t>Kg</t>
  </si>
  <si>
    <t>Pilaretes e cintas em concreto armado incluindo forma e desforma FCK 20 Mpa</t>
  </si>
  <si>
    <t>Forma para pilares incluindo transporte, corte, montagem, escoramento, nivelamento, cimbramento e desforma</t>
  </si>
  <si>
    <t>Forma para vigas incluindo transporte, corte, montagem, escoramento, nivelamento, cimbramento e desforma</t>
  </si>
  <si>
    <t>Concreto estrutural FCK=25MPa para vigas</t>
  </si>
  <si>
    <t>74157/002</t>
  </si>
  <si>
    <t>Lançamento manual de concreto em vigas incluindo vibração</t>
  </si>
  <si>
    <t>Concreto estrutural FCK=25MPa para pilares</t>
  </si>
  <si>
    <t>Lançamento manual de concreto em pilares incluindo vibração</t>
  </si>
  <si>
    <t>Armação de pilares aço CA-50 fornecimento, corte c/ 10%, dobra e colocação</t>
  </si>
  <si>
    <t>73942/002</t>
  </si>
  <si>
    <t>Armação de pilares aço CA-60 fornecimento, corte c/ 10%, dobra e colocação</t>
  </si>
  <si>
    <t>Armação de vigas aço CA-50 fornecimento, corte c/ 10%, dobra e colocação</t>
  </si>
  <si>
    <t>4.11</t>
  </si>
  <si>
    <t>Armação de vigas aço CA-60 fornecimento, corte c/ 10%, dobra e colocação</t>
  </si>
  <si>
    <t>4.12</t>
  </si>
  <si>
    <t xml:space="preserve">Laje treliçada 1 direção, conforme projeto estrutural, incluindo transporte, montagem de estrutura,armação de distribuição, escoramento, nivelamento e cimbramento </t>
  </si>
  <si>
    <t>4.14</t>
  </si>
  <si>
    <t>Lajota cerâmica B8/25/20</t>
  </si>
  <si>
    <t>4.16</t>
  </si>
  <si>
    <t>Concreto estrutural FCK-25MPa para lajes, maciça / capa pré-moldada e=5cm</t>
  </si>
  <si>
    <t>4.17</t>
  </si>
  <si>
    <t>Lançamento manual de concreto em escadas incluindo vibração</t>
  </si>
  <si>
    <t>73935/005</t>
  </si>
  <si>
    <t>Alvenaria em tijolo cerâmico furado 10x15x20cm, 1/2 vez, assentado em argamassa traço 1:4 (cimento e areia)</t>
  </si>
  <si>
    <t>73935/002</t>
  </si>
  <si>
    <t>Alvenaria em tijolo cerâmico furado 10x20x20cm, 1 vez, assentado em argamasso traço 1:5 (cimento e areia)</t>
  </si>
  <si>
    <t>Alvenaria em tijolo cerâmico maciço 5x10x20cm 1/2 vez (espessura 10cm), assentado com argamassa traço 1:2:8 (cimento, cal e areia)</t>
  </si>
  <si>
    <t>74099/001</t>
  </si>
  <si>
    <t>Verga, contraverga ou cinta em concreto armado FCK=20MPA, prep. Mecanico, forma canaleta (15x20x20), aço CA 60 5.0 (taxa de ferragen = 45,13 Kg/m³)</t>
  </si>
  <si>
    <t>Divisória móvel 35mm painél cego miolo vermiculita revestida c/chapa laminada em cores de madeira prensada c/montantes.</t>
  </si>
  <si>
    <t>73774/001</t>
  </si>
  <si>
    <t>Divisória em marmorite espessura 35mm, chumbamento no piso e parede com argamassa de cimento e areia, polimento natural, exclusive ferragens</t>
  </si>
  <si>
    <t>74046/002</t>
  </si>
  <si>
    <t>Targeta tipo livre/ocupado para porta de banheiro</t>
  </si>
  <si>
    <t>73867/001</t>
  </si>
  <si>
    <t>Estrutura tipo espacial em alumínio anodizado, vão de 20m</t>
  </si>
  <si>
    <t>74067/004</t>
  </si>
  <si>
    <t>Proteção de venezina de alumínio</t>
  </si>
  <si>
    <t>74071/002</t>
  </si>
  <si>
    <t>Porta de 2 folhas de abrir em alumínio tipo veneziana, perfil série 25, com guarnições 1,00x1,60cm</t>
  </si>
  <si>
    <t>Barra de apoio reta 80cm conforme NBR9050</t>
  </si>
  <si>
    <t>Barra de apoio para lavatório conforme NBR9050</t>
  </si>
  <si>
    <t>73910/006</t>
  </si>
  <si>
    <t>P1 - Porta de madeira compensada lisa para cera/verniz, 0,80x2,10m, incluso aduela 1ª, alizar 1ª e dobradiça com anel</t>
  </si>
  <si>
    <t>74071/001</t>
  </si>
  <si>
    <t xml:space="preserve">P2 - Porta de abrir em alumínio tipo chapa corrugada, perfil série 25, com guranições 0,80x2,00m </t>
  </si>
  <si>
    <t xml:space="preserve">P3 - Porta de abrir em alumínio tipo chapa corrugada, perfil série 25, com guranições 0,70x2,00m </t>
  </si>
  <si>
    <t>73838/001</t>
  </si>
  <si>
    <t>P4 - Porta de vidro temperado, 1,60x2,10m, espessura 10mm, inclusive acessórios</t>
  </si>
  <si>
    <t>6.11</t>
  </si>
  <si>
    <t>73910/007</t>
  </si>
  <si>
    <t>P9 - Porta de madeira compensada lisa para cera/verniz com visor, 1,00x2,10m, incluso aduela 1ª, alizar 1ª e dobradiça com anel</t>
  </si>
  <si>
    <t>6.12</t>
  </si>
  <si>
    <t>73880/002</t>
  </si>
  <si>
    <t>P14 - Porta de madeira almofadada semi-oca 1ª 0,80 A 2,10 incluso aduela, alizar, dobradiça e fechadura externa padrão popular</t>
  </si>
  <si>
    <t>6.13</t>
  </si>
  <si>
    <t>P 21 - Porta de abrir em alumínio tipo veneziana, perfil série 25, com guarnições 0,60x0,95</t>
  </si>
  <si>
    <t>6.14</t>
  </si>
  <si>
    <t>73809/001</t>
  </si>
  <si>
    <t>J1 - Janela de alumínio tipo maxim-air, série 25, 3,50x0,60m</t>
  </si>
  <si>
    <t>6.15</t>
  </si>
  <si>
    <t>73809/002</t>
  </si>
  <si>
    <t>J3 - Janela de alumínio tipo maxim-air, série 25, 1,50x0,60m</t>
  </si>
  <si>
    <t>6.16</t>
  </si>
  <si>
    <t>74067/001</t>
  </si>
  <si>
    <t>J8 - Janela alumínio de correr, 4 folhas para vidro, sem bandeira, linha 25, em L, 2,80x1,20m</t>
  </si>
  <si>
    <t>6.17</t>
  </si>
  <si>
    <t>74067/002</t>
  </si>
  <si>
    <t>J12 - Janela alumínio de correr, 2 folhas para vidro, com bandeira, linha 25, 1,50x2,00m</t>
  </si>
  <si>
    <t>73931/001</t>
  </si>
  <si>
    <t>Estrutura para telha ondulada fibrocimento em madeira aparelhada, apoiada em laje ou parede</t>
  </si>
  <si>
    <t>74088/001</t>
  </si>
  <si>
    <t>Telhamento com telha de fibrocimento ondulada, espessura 6mm, incluso juntas de vedação e acessórios de fixação</t>
  </si>
  <si>
    <t>Coroa em chapa de aço galvanizado nº24 com pingadeira</t>
  </si>
  <si>
    <t>Rufo em chapa de aço galvanizado nº24, desenvolvimento 16cm</t>
  </si>
  <si>
    <t>Calha em chapa de aço galvanizado nº24, desenvolvimento 33cm</t>
  </si>
  <si>
    <t>73860/008</t>
  </si>
  <si>
    <t>Condutor 2,5mm², isolação 750v</t>
  </si>
  <si>
    <t>73860/009</t>
  </si>
  <si>
    <t>Condutor 4mm², isolação 750v</t>
  </si>
  <si>
    <t>73860/012</t>
  </si>
  <si>
    <t>Condutor 16mm², isolação 1Kv</t>
  </si>
  <si>
    <t>Caixa passagem PVC   2 x 4"</t>
  </si>
  <si>
    <t>Caixas octagonais</t>
  </si>
  <si>
    <t xml:space="preserve">Eletroduto 20mm  3/4" PVC rigido </t>
  </si>
  <si>
    <t xml:space="preserve">Eletroduto 32mm  1 1/4" PVC rigido </t>
  </si>
  <si>
    <t xml:space="preserve">Tomada monofasica 2P + t  - 15A </t>
  </si>
  <si>
    <t>Tomada monofasica 2P + t  - 20A</t>
  </si>
  <si>
    <t>Tomada trifasica 2P + t  - 20A</t>
  </si>
  <si>
    <t>8.11</t>
  </si>
  <si>
    <t>Interrupitor simples 1 tecla</t>
  </si>
  <si>
    <t>8.12</t>
  </si>
  <si>
    <t>Interrupitor simples 2 tecla</t>
  </si>
  <si>
    <t>8.13</t>
  </si>
  <si>
    <t>Luminarias fluorescentes 2X40w C/ reator e lampada</t>
  </si>
  <si>
    <t>8.14</t>
  </si>
  <si>
    <t>Luminarias fluorescente compacta  26w C/  lampada</t>
  </si>
  <si>
    <t>8.15</t>
  </si>
  <si>
    <t>74130/002</t>
  </si>
  <si>
    <t>Dijntor termonagnético unipolar curva c padrão Dim  de 16 A</t>
  </si>
  <si>
    <t>8.16</t>
  </si>
  <si>
    <t>Dijntor termonagnético unipolar curva c padrão Dim  de 20 A</t>
  </si>
  <si>
    <t>8.17</t>
  </si>
  <si>
    <t>74130/004</t>
  </si>
  <si>
    <t>Dijntor termonagnético tripolar curva c padrão Dim  de 10 A</t>
  </si>
  <si>
    <t>8.18</t>
  </si>
  <si>
    <t>Dijntor termonagnético tripolar curva c padrão Dim  de 50 A</t>
  </si>
  <si>
    <t>8.19</t>
  </si>
  <si>
    <t xml:space="preserve">Interrpitor diferncial residual </t>
  </si>
  <si>
    <t>8.20</t>
  </si>
  <si>
    <t>74131/004</t>
  </si>
  <si>
    <t>Quadro de distribuição C/ Barramento trifasico 18 dij. Dim</t>
  </si>
  <si>
    <t>Eletroduto PVC Rígido 3/4 "</t>
  </si>
  <si>
    <t>Moldura para conector RJ45 Simples</t>
  </si>
  <si>
    <t>Moldura para conector  telefone Simples</t>
  </si>
  <si>
    <t>Quadro de distribuição para telefone n°4 (60x60x12 cm ) em chapa metalica, padrão telebras , fornecimento e instalação</t>
  </si>
  <si>
    <t>Cabo telefonico CCI-50 6 pares (uso interno) - Fornecimento e instalação)</t>
  </si>
  <si>
    <t>Cabo par trançado UTP cat 5e</t>
  </si>
  <si>
    <t>Tubo PVC Ø 100 mm² série normal</t>
  </si>
  <si>
    <t>74165/003</t>
  </si>
  <si>
    <t>Tubo PVC Ø 75 mm² série normal</t>
  </si>
  <si>
    <t>74165/002</t>
  </si>
  <si>
    <t>Tubo PVC Ø 50 mm² série normal</t>
  </si>
  <si>
    <t>74165/001</t>
  </si>
  <si>
    <t>Tubo PVC Ø 40 mm² série normal</t>
  </si>
  <si>
    <t>75051/002</t>
  </si>
  <si>
    <t>Tubo PVC Ø 25 mm² série normal(água fria)</t>
  </si>
  <si>
    <t>75051/003</t>
  </si>
  <si>
    <t>Tubo PVC Ø32 mm² série normal(água fria)</t>
  </si>
  <si>
    <t>75051/004</t>
  </si>
  <si>
    <t xml:space="preserve">Tubo PVC Ø 40 mm² série normal(água fria) </t>
  </si>
  <si>
    <t>75051/005</t>
  </si>
  <si>
    <t xml:space="preserve">Tubo PVC Ø 50 mm² série normal(água fria) </t>
  </si>
  <si>
    <t>Joelho 90° serie normal 100mm</t>
  </si>
  <si>
    <t>Joelho 45° serie normal 75mm</t>
  </si>
  <si>
    <t>Joelho 90° serie normal 75mm</t>
  </si>
  <si>
    <t>Joelho45° serie normal 50mm</t>
  </si>
  <si>
    <t>Joelho 90° serie normal 50mm</t>
  </si>
  <si>
    <t>10.14</t>
  </si>
  <si>
    <t>Joelho 90° serie normal 25mm(água fria)</t>
  </si>
  <si>
    <t>10.15</t>
  </si>
  <si>
    <t>Joelho 90° serie normal 50mm(água fria)</t>
  </si>
  <si>
    <t>10.16</t>
  </si>
  <si>
    <t>Tê série nomal 100mm</t>
  </si>
  <si>
    <t>10.17</t>
  </si>
  <si>
    <t>Tê série nomal 75mm</t>
  </si>
  <si>
    <t>10.18</t>
  </si>
  <si>
    <t>Tê série nomal 50mm(água fria)</t>
  </si>
  <si>
    <t>10.19</t>
  </si>
  <si>
    <t xml:space="preserve">Sifão fléxivel p/ pias e lavatório </t>
  </si>
  <si>
    <t>10.20</t>
  </si>
  <si>
    <t>Redução excêntrica série normal 100 x 75 mm</t>
  </si>
  <si>
    <t>10.21</t>
  </si>
  <si>
    <t>Redução excêntrica série normal  40 x32 mm(água fria)</t>
  </si>
  <si>
    <t>10.22</t>
  </si>
  <si>
    <t>Redução excêntrica série normal 50 x 25 mm(água fria)</t>
  </si>
  <si>
    <t>10.23</t>
  </si>
  <si>
    <t>Caixa sinf.  Mont. c/ grelha e porta grelha150 x 185 x 75 mm</t>
  </si>
  <si>
    <t>10.24</t>
  </si>
  <si>
    <t>Registro de gaveta 50mm c/ canopla</t>
  </si>
  <si>
    <t>10.25</t>
  </si>
  <si>
    <t>Valvula descarga  1.1/2" Com registro acabamento em metal cromado</t>
  </si>
  <si>
    <t>10.26</t>
  </si>
  <si>
    <t>271 40729</t>
  </si>
  <si>
    <t>Valvula descarga  mictório Com registro acabamento em metal cromado</t>
  </si>
  <si>
    <t>10.27</t>
  </si>
  <si>
    <t>Bacia sanitária cor branca</t>
  </si>
  <si>
    <t>10.28</t>
  </si>
  <si>
    <t>Bacia sanitária cor branca P.N.E</t>
  </si>
  <si>
    <t>10.29</t>
  </si>
  <si>
    <t xml:space="preserve">Micitório cor branca </t>
  </si>
  <si>
    <t>10.30</t>
  </si>
  <si>
    <t>Lavatório/ cuba de embutir louça cor 35 X 50cm ou equivalente.</t>
  </si>
  <si>
    <t>10.31</t>
  </si>
  <si>
    <t>Lavatório/ cuba de embutir louça cor 35 X 50cm ou equivalente P.N.E.</t>
  </si>
  <si>
    <t>10.32</t>
  </si>
  <si>
    <t>Caixa de agua 1000Litros</t>
  </si>
  <si>
    <t>10.33</t>
  </si>
  <si>
    <t>Caixa de agua 1000Litros (agua da chuva)</t>
  </si>
  <si>
    <t>10.34</t>
  </si>
  <si>
    <t>Caixa de inspenção em alvenaria de tijolo maciço 60X60X60CM,</t>
  </si>
  <si>
    <t>10.35</t>
  </si>
  <si>
    <t>torneira p/ lav. cromada c/ sistema automático de fechamento</t>
  </si>
  <si>
    <t>10.36</t>
  </si>
  <si>
    <t xml:space="preserve">torneira p/ pia de enchague </t>
  </si>
  <si>
    <t>10.37</t>
  </si>
  <si>
    <t>73911/001</t>
  </si>
  <si>
    <t>Cuba de inox</t>
  </si>
  <si>
    <t>10.38</t>
  </si>
  <si>
    <t>Assento com tampa para vaso sanitário na cor branca, instalado</t>
  </si>
  <si>
    <t>10.39</t>
  </si>
  <si>
    <t>Papeleiro para papel higiênico em ABS</t>
  </si>
  <si>
    <t>10.40</t>
  </si>
  <si>
    <t>Saboneteiro para sabonete liquido em ABS</t>
  </si>
  <si>
    <t>10.41</t>
  </si>
  <si>
    <t>Toalheiro para papel toalha em ABS</t>
  </si>
  <si>
    <t>10.42</t>
  </si>
  <si>
    <t>74090/002</t>
  </si>
  <si>
    <t>Drenos para Ar condicionado conforme projeto</t>
  </si>
  <si>
    <t>Impermeabilização semi-flexivel com tinta asfáltica</t>
  </si>
  <si>
    <t>Extintor de pó químico  4 Kg com suporte para fixação na parede, instalado</t>
  </si>
  <si>
    <t>Placa de saída autônoma 1 face luminosa, instalada</t>
  </si>
  <si>
    <t>Sistema de Iluminação de Emergência autônoma, com bateria, 2 faróis 55w, instalada</t>
  </si>
  <si>
    <t xml:space="preserve">Tubo cobre flexível rolo 1/2" </t>
  </si>
  <si>
    <t>Válvula de esfera em bronze Ø 1/2", instalado</t>
  </si>
  <si>
    <t>Regulador baixa pressão 2kg/h (2° estágio)</t>
  </si>
  <si>
    <t>Ventilação permanente 20x10cm</t>
  </si>
  <si>
    <t>Sistema de Iluminação de Emergência , Bloco autônomo PL 9W, instalada</t>
  </si>
  <si>
    <t>Chapisco em paredes traço 1:4 (cimento e areia), espessura 0,5cm, preparo mecânico</t>
  </si>
  <si>
    <t>Chapisco em tetos traço 1:3 (cimento e areia), espessura 0,5cm, preparo mecânico</t>
  </si>
  <si>
    <t>Emboço paulista (massa única) em tetos traço 1:2:11 (cimento, cal e areia), espessura 1,5cm, preparo mecânico.</t>
  </si>
  <si>
    <t>Emboço paulista (massa única) traço 1:2:11 (cimento, cal e areia), espessura 2,0cm, preparo mecânico</t>
  </si>
  <si>
    <t>73925/002</t>
  </si>
  <si>
    <t xml:space="preserve">Azulejo 1ª 15x15cm fixado argamassa colante, rejuntamento com cimento branco - com 10% </t>
  </si>
  <si>
    <t>Lambri de madeira laminada</t>
  </si>
  <si>
    <t>Forro de beiral em madeira tipo cedrinho, incluso testeira altura 15cm e meia-cana</t>
  </si>
  <si>
    <t>73920/006</t>
  </si>
  <si>
    <t>Regularização de contrapiso e= 4cm</t>
  </si>
  <si>
    <t>74108/001</t>
  </si>
  <si>
    <t xml:space="preserve">Piso cerâmico 1ª PEI-4 30x30cm, assentado com argamassa traço 1:4 (cimento e areia) preparo manual, com rejunte em cimento comum - com 10% </t>
  </si>
  <si>
    <t>13.12</t>
  </si>
  <si>
    <t>73829/001</t>
  </si>
  <si>
    <t>Piso em cerâmica esmaltada 1ª PEI-V, Padrão médio, assentada com argamassa colante - com 10%</t>
  </si>
  <si>
    <t>13.13</t>
  </si>
  <si>
    <t>Carpete de nylon e=6mm colocado - com rodapé 8cm - com 10%</t>
  </si>
  <si>
    <t>13.14</t>
  </si>
  <si>
    <t>74087/001</t>
  </si>
  <si>
    <t>Peitoril em ardósia - com 10%</t>
  </si>
  <si>
    <t>13.15</t>
  </si>
  <si>
    <t>74159/001</t>
  </si>
  <si>
    <t>Soleira em ardósia assentada com argamassa de cimento e areia - com 10%</t>
  </si>
  <si>
    <t>13.16</t>
  </si>
  <si>
    <t>74126/001</t>
  </si>
  <si>
    <t>Granito cinza polido para bancada e=2,5cm, largura 60cm - fornecimento e instalação</t>
  </si>
  <si>
    <t>13.17</t>
  </si>
  <si>
    <t>73985/001</t>
  </si>
  <si>
    <t>Rodapé em cerâmica esmaltada linha popular PEI-4, assentada com argamassa fabricada no local, com rejuntamento em cimento branco - com 10%</t>
  </si>
  <si>
    <t>Vidro aramado, espessura 7mm</t>
  </si>
  <si>
    <t>Vidro temperado incolor, espessura 10mm</t>
  </si>
  <si>
    <t>P9 - Vidro liso comum transparente, espessura 3mm</t>
  </si>
  <si>
    <t>J1 - Vidro tipo canelado, espessura 3mm</t>
  </si>
  <si>
    <t>J3 - Vidro liso comum transparente, espessura 3mm</t>
  </si>
  <si>
    <t>J8 - Vidro liso comum transparente, espessura 3mm</t>
  </si>
  <si>
    <t>J12 - Vidro liso comum transparente, espessura 3mm</t>
  </si>
  <si>
    <t>73751/001</t>
  </si>
  <si>
    <t>Fundo selador PVA ambientes internos, uma demão</t>
  </si>
  <si>
    <t>73954/001</t>
  </si>
  <si>
    <t>Pintura latex acrílica ambientes internos/externos, três demãos</t>
  </si>
  <si>
    <t>73739/001</t>
  </si>
  <si>
    <t>Pintura esmalte acetinado em madeira, duas demãos</t>
  </si>
  <si>
    <t>Pintura em verniz sintético brilhante em madeira, três demãos</t>
  </si>
  <si>
    <t>Execução de calçada em concreto 1:3:5 (FCK=12 Mpa) Preparo mecânico, e=7cm</t>
  </si>
  <si>
    <t>Limpeza final da obra</t>
  </si>
  <si>
    <t>OBRA: CENTRO DE TREINAMENTO CÃO-GUIA - CONVIVÊNCIA</t>
  </si>
  <si>
    <r>
      <t>Área Construída</t>
    </r>
    <r>
      <rPr>
        <sz val="9"/>
        <color indexed="8"/>
        <rFont val="Arial"/>
        <family val="2"/>
      </rPr>
      <t>:  607,61m² (2040,28m²)</t>
    </r>
  </si>
  <si>
    <t>Local:</t>
  </si>
  <si>
    <t xml:space="preserve">Estrutura em madeira apoiada em laje para caixa d'água </t>
  </si>
  <si>
    <t>4.13</t>
  </si>
  <si>
    <t>Laje treliçada 1 direção, conforme projeto estrutural, incluindo transporte, montagem de estrutura,armação de distribuição, escoramento, nivelamento e cimbramento</t>
  </si>
  <si>
    <t>4.15</t>
  </si>
  <si>
    <t>Forma  para lajes, maciçaes  incluindo transporte, corte, montagem, escoramento, nivelamento, cimbramento e desforma</t>
  </si>
  <si>
    <t>4.18</t>
  </si>
  <si>
    <t>Armação de para lajes, maciça aço CA-50 fornecimento, corte c/ 10%, dobra e colocação</t>
  </si>
  <si>
    <t>4.19</t>
  </si>
  <si>
    <t>Armação de para lajes, maciça aço CA-60 fornecimento, corte c/ 10%, dobra e colocação</t>
  </si>
  <si>
    <t>4.20</t>
  </si>
  <si>
    <t>Junta de dilatação e=1cm c/ E.P.S.</t>
  </si>
  <si>
    <t>Cobogo cerâmico (elemento vazado), 9x20x20cm, assentado com argamassa traço 1:4 de cimento e areia</t>
  </si>
  <si>
    <t>73737/002</t>
  </si>
  <si>
    <t>Gradil de alumínio anodizado tipo barra chata para varandas</t>
  </si>
  <si>
    <t>74072/002</t>
  </si>
  <si>
    <t>Corrimão em tubo aço galvanizado 2 1/2" com braçadeira</t>
  </si>
  <si>
    <t>74073/002</t>
  </si>
  <si>
    <t>Alçapão em ferro 0,7x0,7m, incluso ferragens</t>
  </si>
  <si>
    <t>Barra de apoio reta 70cm conforme NBR9051</t>
  </si>
  <si>
    <t>Barra de apoio reta 60cm conforme NBR9052</t>
  </si>
  <si>
    <t>Banco articulado conforme NBR9050</t>
  </si>
  <si>
    <t>73910/004</t>
  </si>
  <si>
    <t>P6 - Porta de madeira compensada lisa para cera/verniz, 0,70x2,10m, incluso aduela 1ª, alizar 1ª e dobradiça com anel</t>
  </si>
  <si>
    <t>P13 - Porta de correr em alumínio, perfil série 25, com folhas para vidro 3,20x2,50m</t>
  </si>
  <si>
    <t>P19 - Porta de correr em alumínio, perfil série 25, com folhas para vidro 3,20x2,50m</t>
  </si>
  <si>
    <t>P20 - Porta de vidro temperado, 0,80x2,10m, espessura 10mm, inclusive acessórios</t>
  </si>
  <si>
    <t>6.18</t>
  </si>
  <si>
    <t>6.19</t>
  </si>
  <si>
    <t>J4 - Janela de alumínio tipo maxim-air, série 25, 0,50x0,60m</t>
  </si>
  <si>
    <t>6.20</t>
  </si>
  <si>
    <t>J5 - Janela de alumínio tipo maxim-air, série 25 0,50x1,60m</t>
  </si>
  <si>
    <t>6.21</t>
  </si>
  <si>
    <t>J6 - Janela alumínio de correr, 2 folhas para vidro, com bandeira, linha 25, 1,50x1,30m</t>
  </si>
  <si>
    <t>6.22</t>
  </si>
  <si>
    <t>J10 - Janela alumínio de correr, 2 folhas para vidro, com bandeira, linha 25, 1,60x1,30m</t>
  </si>
  <si>
    <t>6.23</t>
  </si>
  <si>
    <t>J11 - Janela alumínio de correr, 2 folhas para vidro, com bandeira, linha 25, 1,50x1,30m</t>
  </si>
  <si>
    <t>Estrutura para talha ondulada fibrocimento em madeira aparelhada, apoiada em laje ou parede</t>
  </si>
  <si>
    <t>Cama de regularização de argamaça para calha</t>
  </si>
  <si>
    <t>73860/010</t>
  </si>
  <si>
    <t>Condutor 6mm², isolação 750v</t>
  </si>
  <si>
    <t>73860/013</t>
  </si>
  <si>
    <t>Condutor 25mm², isolação 1Kv</t>
  </si>
  <si>
    <t>Interrupitor simples 3 tecla</t>
  </si>
  <si>
    <t>Chuveiro eletrico 4500w</t>
  </si>
  <si>
    <t>Dijntor termonagnético unipolar curva c padrão Dim  de 10 A</t>
  </si>
  <si>
    <t>Dijntor termonagnético unipolar curva c padrão Dim  de 25 A</t>
  </si>
  <si>
    <t>8.21</t>
  </si>
  <si>
    <t>8.22</t>
  </si>
  <si>
    <t>8.23</t>
  </si>
  <si>
    <t>Dijntor termonagnético tripolar curva c padrão Dim  de 80 A</t>
  </si>
  <si>
    <t>8.24</t>
  </si>
  <si>
    <t>8.25</t>
  </si>
  <si>
    <t>Quadro de distribuição C/ Barramento trifasico 16 dij. Dim</t>
  </si>
  <si>
    <t>Tubo PVC Ø 75mm² série normal(água fria)</t>
  </si>
  <si>
    <t>Tubo PVC Ø 28 mm² Aquatherm</t>
  </si>
  <si>
    <t>Tubo PVC Ø35 mm² Aquatherm</t>
  </si>
  <si>
    <t>Joelho 45° serie normal 100mm</t>
  </si>
  <si>
    <t>Joelho 90° serie normal 75mm(água fria)</t>
  </si>
  <si>
    <t>Joelho 90° serie L.R 25mm(água fria)</t>
  </si>
  <si>
    <t>Joelho 90° aquatherm  28mm</t>
  </si>
  <si>
    <t>Joelho 90° aquatherm  35mm</t>
  </si>
  <si>
    <t>Tê série nomal 60mm(água fria)</t>
  </si>
  <si>
    <t>Tê aquaterme 28mm</t>
  </si>
  <si>
    <t>Tê aquaterme 35mm</t>
  </si>
  <si>
    <t>Tê de redução aquaterme 35mm x 28mm</t>
  </si>
  <si>
    <t>Redução excêntrica série normal  75 x50 mm(água fria)</t>
  </si>
  <si>
    <t>Registro de presão 25mm c/ canopla</t>
  </si>
  <si>
    <t>Registro de gaveta 25mm c/canopla</t>
  </si>
  <si>
    <t>Registro de gaveta 75mm c/ canopla</t>
  </si>
  <si>
    <t>Caixa de agua 5000Litros</t>
  </si>
  <si>
    <t>10.43</t>
  </si>
  <si>
    <t>10.44</t>
  </si>
  <si>
    <t>Conjunto aquecedor solar com reservatório p/água quente com isolamento térmico de 500L e quatro painéis coletores de 1,5m²</t>
  </si>
  <si>
    <t>10.45</t>
  </si>
  <si>
    <t xml:space="preserve">Caixa de gordura dupla em concreto pre moldado dn 60mm c/ tampa </t>
  </si>
  <si>
    <t>10.46</t>
  </si>
  <si>
    <t>10.47</t>
  </si>
  <si>
    <t>torneira p/ lav. cromada c/ sistema misturador</t>
  </si>
  <si>
    <t>10.48</t>
  </si>
  <si>
    <t>10.49</t>
  </si>
  <si>
    <t>10.50</t>
  </si>
  <si>
    <t>10.51</t>
  </si>
  <si>
    <t>10.52</t>
  </si>
  <si>
    <t>10.53</t>
  </si>
  <si>
    <t>Porta toalha em metal cromado, tipo haste ou barra</t>
  </si>
  <si>
    <t>10.54</t>
  </si>
  <si>
    <t>Papeleira Cromada</t>
  </si>
  <si>
    <t>10.55</t>
  </si>
  <si>
    <t>Porta toalha tipo gancho de metal cromado.</t>
  </si>
  <si>
    <t>10.56</t>
  </si>
  <si>
    <t>Porta toalha eem metal cromado, tipo argola</t>
  </si>
  <si>
    <t>10.57</t>
  </si>
  <si>
    <t>Juntas de dilatação (0,20 x 0,03m)</t>
  </si>
  <si>
    <t>Placa de saída autônoma 2 face seta luminosa, instalada</t>
  </si>
  <si>
    <t>73764/004</t>
  </si>
  <si>
    <t>Pavimentação em blocos intertravados de concreto, espessura 6,5cm, FCK 35Mpa, assentados sobre colchão de areia - com 10%</t>
  </si>
  <si>
    <t>Colchão de areia para pavimentação em blocos de concreto intertravado</t>
  </si>
  <si>
    <t>P13 - Vidro liso comum transparente, espessura 3mm</t>
  </si>
  <si>
    <t>P19 - Vidro liso comum transparente, espessura 3mm</t>
  </si>
  <si>
    <t>J4 - Vidro tipo canelado, espessura 3mm</t>
  </si>
  <si>
    <t>J5 - Vidro liso comum transparente, espessura 3mm</t>
  </si>
  <si>
    <t>J6 - Vidro liso comum transparente, espessura 3mm</t>
  </si>
  <si>
    <t>J10 - Vidro liso comum transparente, espessura 3mm</t>
  </si>
  <si>
    <t>J11 - Vidro liso comum transparente, espessura 3mm</t>
  </si>
  <si>
    <t>OBRA: CENTRO DE TREINAMENTO CÃO-GUIA - CANIL</t>
  </si>
  <si>
    <r>
      <t>Área Construída</t>
    </r>
    <r>
      <rPr>
        <sz val="9"/>
        <color indexed="8"/>
        <rFont val="Arial"/>
        <family val="2"/>
      </rPr>
      <t>:  550,19m² (2040,28m²)</t>
    </r>
  </si>
  <si>
    <r>
      <t>Local</t>
    </r>
    <r>
      <rPr>
        <sz val="9"/>
        <color indexed="8"/>
        <rFont val="Arial"/>
        <family val="2"/>
      </rPr>
      <t xml:space="preserve">: </t>
    </r>
  </si>
  <si>
    <t xml:space="preserve">Lajes pré-moldada c/ tavela cerâmica p/ forro sobrecarga 100 Kg/m² c/ escoramento </t>
  </si>
  <si>
    <t>Concreto estrutural FCK=30MPa para vigas</t>
  </si>
  <si>
    <t>Concreto estrutural FCK=30MPa para pilares</t>
  </si>
  <si>
    <t>Concreto estrutural FCK-30MPa para lajes, maciça / capa pré-moldada e=5cm</t>
  </si>
  <si>
    <t>Forma para laje incluindo transporte, corte, montagem, escoramento, nivelamento, cimbramento e desforma</t>
  </si>
  <si>
    <t>Armação  para lajes, maciça  aço CA-50 fornecimento, corte c/ 10%, dobra e colocação</t>
  </si>
  <si>
    <t>Armação  para lajes, maciça  aço CA-60 fornecimento, corte c/ 10%, dobra e colocação</t>
  </si>
  <si>
    <t>73737/003</t>
  </si>
  <si>
    <t>Gradil de alumínio anodizado tipo barra chata c/6cm altura 1,6m</t>
  </si>
  <si>
    <t>Tampa de abrir em alumínio tipo chapa corrugada, perfil série 25, com guarnições 0,80x0,80m</t>
  </si>
  <si>
    <t>P15 - Porta de abrir em alumínio tipo chapa corrugada, perfil série 25, com guarnições 0,80x1,40m</t>
  </si>
  <si>
    <t>P16 - Porta de correr em alumínio tipo chapa, perfil série 25, com gurnições e visor 0,80x2,10m</t>
  </si>
  <si>
    <t>P26 - Porta de correr em alumínio tipo chapa, perfil série 25, com gurnições e visor 0,80x1,60m</t>
  </si>
  <si>
    <t>J2 - Janela alumínio de correr, folhas para vidro, sem bandeira, linha 25, 1,50x1,20m</t>
  </si>
  <si>
    <t>Eletroduto 20mm  3/4" PVC rígido c/ conexões</t>
  </si>
  <si>
    <t>Dijntor termonagnético tripolar curva c padrão Dim  de 32 A</t>
  </si>
  <si>
    <t>Quadro de distribuição C/ Barramento trifasico 12 dij. Dim</t>
  </si>
  <si>
    <t>Fio p/ instalação eletronica (som) polarizado bicolor 2x075mm²</t>
  </si>
  <si>
    <t>Arandela de som abiente de sobrepor</t>
  </si>
  <si>
    <t>Caixa de agua 4000Litros</t>
  </si>
  <si>
    <t>Conjunto aquecedor solar com reservatório p/água quente com isolamento térmico de 400L e três painéis coletores de 1,5m²</t>
  </si>
  <si>
    <t>Torneira p/ lav. cromada c/ sistema automático de fechamento</t>
  </si>
  <si>
    <t>Torneira p/ lav. cromada c/ sistema misturador</t>
  </si>
  <si>
    <t>Ducha p/ lav. cromada c/ sistema misturador</t>
  </si>
  <si>
    <t xml:space="preserve">Torneira p/ pia de enchague </t>
  </si>
  <si>
    <t>Drenos para Ar condicionado</t>
  </si>
  <si>
    <t>73921/002</t>
  </si>
  <si>
    <t xml:space="preserve">Piso em pedra ardósia, 40x40cm, espessura 1cm, assentada com argamassa colante, com rejunte em cimento comum - com 10% </t>
  </si>
  <si>
    <t xml:space="preserve">Pedra ardósia em parede, 40x40cm, espessura 1cm, assentada com argamassa colante, com rejunte em cimento comum - com 10% </t>
  </si>
  <si>
    <t>J1 - Vidro liso comum transparente, espessura 3mm</t>
  </si>
  <si>
    <t>J2 - Vidro liso comum transparente, espessura 3mm</t>
  </si>
  <si>
    <t>OBRA: CENTRO DE TREINAMENTO CÃO-GUIA - CLÍNICA</t>
  </si>
  <si>
    <r>
      <t>Área Construída</t>
    </r>
    <r>
      <rPr>
        <sz val="9"/>
        <color indexed="8"/>
        <rFont val="Arial"/>
        <family val="2"/>
      </rPr>
      <t>:  168,36m² (2040,28m²)</t>
    </r>
  </si>
  <si>
    <t>P24 - Porta de madeira compensada lisa para cera/verniz com visor, 1,40x2,10m, incluso aduela 1ª, alizar 1ª e dobradiça com anel</t>
  </si>
  <si>
    <t>P25 - Porta de abrir em alumínio tipo chapa corrugada, perfil série 25, com guarnições 0,80x1,20m</t>
  </si>
  <si>
    <t>73910/005</t>
  </si>
  <si>
    <t>P27 - Porta de madeira compensada lisa para pintura com visor, 0,80x2,10m, incluso aduela 1ª, alizar 1ª e dobradiça vai e vem</t>
  </si>
  <si>
    <t>J7 - Janela alumínio fixa para vidro, sem bandeira, linha 25, 2,50x0,90m</t>
  </si>
  <si>
    <t>J8 - Janela alumínio de correr, folhas para vidro, sem bandeira, linha 25, em L, 2,80x1,20m</t>
  </si>
  <si>
    <t>J9 - Janela alumínio fixa para vidro, sem bandeira, linha 25, 1,20x0,90m</t>
  </si>
  <si>
    <t>74067/001 + Tela</t>
  </si>
  <si>
    <r>
      <t xml:space="preserve">J13 - </t>
    </r>
    <r>
      <rPr>
        <sz val="9"/>
        <rFont val="Arial"/>
        <family val="2"/>
      </rPr>
      <t xml:space="preserve">Janela alumínio de correr, folhas para vidro e tela mosqueteiro fixa, </t>
    </r>
    <r>
      <rPr>
        <sz val="9"/>
        <color indexed="8"/>
        <rFont val="Arial"/>
        <family val="2"/>
      </rPr>
      <t>sem bandeira, linha 25, 1,20x0,90m</t>
    </r>
  </si>
  <si>
    <t>J14 - Janela de alumínio articulada (tipo camarão), série 25, com vedação, 0,60x0,90m</t>
  </si>
  <si>
    <t>Pia aço inoxidavel 120X60CM C/ 1 cuba  - Fornecimento e instalação</t>
  </si>
  <si>
    <t>Conjunto aquecedor solar com reservatório p/água quente com isolamento térmico de 200L e dois painéis coletores de 1m²</t>
  </si>
  <si>
    <t>Piso vinílico semiflexível padrão liso, espessura 2mm, fixado com cola - com 10%</t>
  </si>
  <si>
    <t>P16 - Vidro liso comum transparente, espessura 3mm</t>
  </si>
  <si>
    <t>P24 - Vidro liso comum transparente, espessura 3mm</t>
  </si>
  <si>
    <t>P27 - Vidro liso comum transparente, espessura 3mm</t>
  </si>
  <si>
    <t>J7 - Vidro liso comum transparente, espessura 3mm</t>
  </si>
  <si>
    <t>J9 - Vidro liso comum transparente, espessura 3mm</t>
  </si>
  <si>
    <t>J13 - Vidro liso comum trasnparente, espessura 3mm</t>
  </si>
  <si>
    <t>14.11</t>
  </si>
  <si>
    <t>J14 - Vidro liso comum transparente, espessura 3mm</t>
  </si>
  <si>
    <t>Pintura epoxi</t>
  </si>
  <si>
    <t>Emassamento epoxi</t>
  </si>
  <si>
    <t>OBRA: CENTRO DE TREINAMENTO CÃO-GUIA - POSTO DE OBSERVAÇÃO</t>
  </si>
  <si>
    <r>
      <t>Área Construída</t>
    </r>
    <r>
      <rPr>
        <sz val="9"/>
        <color indexed="8"/>
        <rFont val="Arial"/>
        <family val="2"/>
      </rPr>
      <t>:  11,20m² (2040,28m²)</t>
    </r>
  </si>
  <si>
    <t xml:space="preserve">Estrutura em madeira apoiada em parede para caixa d'água </t>
  </si>
  <si>
    <t>74194/001</t>
  </si>
  <si>
    <t>Escada tipo marinheiro em tubo aço galvanizado 1 1/2" 5 degraus</t>
  </si>
  <si>
    <t>Ext1 - Portinhola de abrir em alumínio tipo veneziana, perfil série 25, com guarnições 0,70x0,60m</t>
  </si>
  <si>
    <t>Luminaria vapor de sódio 150w</t>
  </si>
  <si>
    <t>Quadro de distribuição C/ Barramento trifasico 6 dij. Dim</t>
  </si>
  <si>
    <t>Caixa de agua 250Litros</t>
  </si>
  <si>
    <t>Forro PVC em placas com largura de 10cm, espessura 8mm, comp de 6,0m, liso.</t>
  </si>
  <si>
    <t>OBRA: CENTRO DE TREINAMENTO CÃO-GUIA - MATERNIDADE</t>
  </si>
  <si>
    <r>
      <t>Área Construída</t>
    </r>
    <r>
      <rPr>
        <sz val="9"/>
        <color indexed="8"/>
        <rFont val="Arial"/>
        <family val="2"/>
      </rPr>
      <t>:  108,67m² (2040,28m²)</t>
    </r>
  </si>
  <si>
    <t>74138/002</t>
  </si>
  <si>
    <t xml:space="preserve">Lajes capa de concreto esp.0,05cm </t>
  </si>
  <si>
    <t>Aço capa de concreto</t>
  </si>
  <si>
    <t>kg</t>
  </si>
  <si>
    <t>Laje treliçada 1 direção, conforme projeto estrutural, incluindo transporte, montagem de estrutura,armação de distribuição, escoramento, nivelamento e cimbramento h= 17cm</t>
  </si>
  <si>
    <t>Forma para escada incluindo transporte, corte, montagem, escoramento, nivelamento, cimbramento e desforma</t>
  </si>
  <si>
    <t>4.21</t>
  </si>
  <si>
    <t>Armação para lajes, maciça aço CA-60 fornecimento, corte c/ 10%, dobra e colocação</t>
  </si>
  <si>
    <t>Gradil de alumínio anodizado tipo barra chata c/3cm altura 1,60m</t>
  </si>
  <si>
    <t>P15 - Porta de abrir em alumínio tipo chapa corrugada, perfil série 25, com guarnições 0,80x1,70m</t>
  </si>
  <si>
    <t>OBRA: CENTRO DE TREINAMENTO CÃO-GUIA - ADOÇÃO</t>
  </si>
  <si>
    <r>
      <t>Área Construída</t>
    </r>
    <r>
      <rPr>
        <sz val="9"/>
        <color indexed="8"/>
        <rFont val="Arial"/>
        <family val="2"/>
      </rPr>
      <t>:  113,29m² (2040,28m²)</t>
    </r>
  </si>
  <si>
    <t>Lançamento manual de concreto para lajes, maciça incluindo vibração</t>
  </si>
  <si>
    <t>Forma para  lajes, maciça  incluindo transporte, corte, montagem, escoramento, nivelamento, cimbramento e desforma</t>
  </si>
  <si>
    <t>Armação de escadas aço CA-60 fornecimento, corte c/ 10%, dobra e colocação</t>
  </si>
  <si>
    <t>Quadro de distribuição C/ Barramento trifasico 4 dij. Dim</t>
  </si>
  <si>
    <t>OBRA: CENTRO DE TREINAMENTO CÃO-GUIA - ISOLAMENTO</t>
  </si>
  <si>
    <r>
      <t>Área Construída</t>
    </r>
    <r>
      <rPr>
        <sz val="9"/>
        <color indexed="8"/>
        <rFont val="Arial"/>
        <family val="2"/>
      </rPr>
      <t>:  29,74m² (2040,28m²)</t>
    </r>
  </si>
  <si>
    <t>Sapatas em concreto armado incluído forma e desforma  FCK 20 MPa</t>
  </si>
  <si>
    <t>Vigas Baldrame em conc. armado inc. forma e desf. FCK 20 MPa</t>
  </si>
  <si>
    <t xml:space="preserve">Contrapiso em concreto armado impermeabilizado </t>
  </si>
  <si>
    <t>3.11</t>
  </si>
  <si>
    <t>OBRA: CENTRO DE TREINAMENTO CÃO-GUIA - TREINAMENTO</t>
  </si>
  <si>
    <r>
      <t>Área Construída</t>
    </r>
    <r>
      <rPr>
        <sz val="9"/>
        <color indexed="8"/>
        <rFont val="Arial"/>
        <family val="2"/>
      </rPr>
      <t>:  55,08m² (2040,28m²)</t>
    </r>
  </si>
  <si>
    <t>Estrutura de madeira de lai 1ª serrada não aparelhada, para talhas onduladas, vão até 7m</t>
  </si>
  <si>
    <t>OBRA: CENTRO DE TREINAMENTO CÃO-GUIA - ESTACIONAMENTO</t>
  </si>
  <si>
    <r>
      <t>Área Construída</t>
    </r>
    <r>
      <rPr>
        <sz val="9"/>
        <color indexed="8"/>
        <rFont val="Arial"/>
        <family val="2"/>
      </rPr>
      <t>:  26,00m² (2040,28m²)</t>
    </r>
  </si>
  <si>
    <t>Concreto estrutural FCK=20MPa para vigas</t>
  </si>
  <si>
    <t>Concreto estrutural FCK=20MPa para pilares</t>
  </si>
  <si>
    <t>CRONOGRAMA FÍSICO-FINANCEIRO</t>
  </si>
  <si>
    <t>Obra: CENTRO DE TREINAMENTO CÃO-GUIA</t>
  </si>
  <si>
    <t>LDI =</t>
  </si>
  <si>
    <r>
      <t>Área Costruída = 2040,28</t>
    </r>
    <r>
      <rPr>
        <sz val="12"/>
        <rFont val="Arial"/>
        <family val="2"/>
      </rPr>
      <t>m²</t>
    </r>
  </si>
  <si>
    <t>Resp. Técnico:</t>
  </si>
  <si>
    <t>PERÍODO</t>
  </si>
  <si>
    <t>0 - 30 DIAS</t>
  </si>
  <si>
    <t>30 - 60 DIAS</t>
  </si>
  <si>
    <t>60 - 90 DIAS</t>
  </si>
  <si>
    <t>90 - 120 DIAS</t>
  </si>
  <si>
    <t>120 - 150 DIAS</t>
  </si>
  <si>
    <t>150 - 180 DIAS</t>
  </si>
  <si>
    <t>180 - 210 DIAS</t>
  </si>
  <si>
    <t>210 - 240 DIAS</t>
  </si>
  <si>
    <t>240 - 270 DIAS</t>
  </si>
  <si>
    <t>MOVIMENTAÇÃO DE TERRA</t>
  </si>
  <si>
    <t>INTALAÇÕES DE LÓGICA E DE TELEFONE</t>
  </si>
  <si>
    <t>ACUMULADO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</si>
</sst>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0"/>
    <numFmt numFmtId="166" formatCode="#.##000"/>
    <numFmt numFmtId="167" formatCode="0.00"/>
    <numFmt numFmtId="168" formatCode="@"/>
    <numFmt numFmtId="169" formatCode="0%"/>
    <numFmt numFmtId="170" formatCode="0.00%"/>
    <numFmt numFmtId="171" formatCode="_-* #,##0.00_-;\-* #,##0.00_-;_-* \-??_-;_-@_-"/>
    <numFmt numFmtId="172" formatCode="000"/>
    <numFmt numFmtId="173" formatCode="_(* #,##0.00_);_(* \(#,##0.00\);_(* \-??_);_(@_)"/>
    <numFmt numFmtId="174" formatCode="0"/>
    <numFmt numFmtId="175" formatCode="000000"/>
    <numFmt numFmtId="176" formatCode="#,##0.00_);\(#,##0.00\)"/>
    <numFmt numFmtId="177" formatCode="#,##0.00"/>
    <numFmt numFmtId="178" formatCode="&quot;R$ &quot;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2" fillId="0" borderId="0">
      <alignment/>
      <protection/>
    </xf>
    <xf numFmtId="165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</cellStyleXfs>
  <cellXfs count="386">
    <xf numFmtId="164" fontId="0" fillId="0" borderId="0" xfId="0" applyAlignment="1">
      <alignment/>
    </xf>
    <xf numFmtId="166" fontId="3" fillId="0" borderId="0" xfId="23" applyFont="1">
      <alignment/>
      <protection/>
    </xf>
    <xf numFmtId="166" fontId="2" fillId="0" borderId="0" xfId="23">
      <alignment/>
      <protection/>
    </xf>
    <xf numFmtId="166" fontId="2" fillId="0" borderId="0" xfId="23" applyAlignment="1">
      <alignment horizontal="center" vertical="center"/>
      <protection/>
    </xf>
    <xf numFmtId="167" fontId="2" fillId="0" borderId="0" xfId="23" applyNumberFormat="1">
      <alignment/>
      <protection/>
    </xf>
    <xf numFmtId="166" fontId="4" fillId="0" borderId="0" xfId="23" applyFont="1" applyBorder="1" applyAlignment="1">
      <alignment horizontal="center" vertical="center"/>
      <protection/>
    </xf>
    <xf numFmtId="166" fontId="2" fillId="0" borderId="0" xfId="23" applyBorder="1">
      <alignment/>
      <protection/>
    </xf>
    <xf numFmtId="166" fontId="3" fillId="0" borderId="0" xfId="23" applyFont="1" applyAlignment="1">
      <alignment horizontal="center" vertical="center"/>
      <protection/>
    </xf>
    <xf numFmtId="167" fontId="2" fillId="0" borderId="0" xfId="23" applyNumberFormat="1" applyAlignment="1">
      <alignment horizontal="center" vertical="center"/>
      <protection/>
    </xf>
    <xf numFmtId="168" fontId="5" fillId="0" borderId="0" xfId="23" applyNumberFormat="1" applyFont="1" applyAlignment="1">
      <alignment vertical="center"/>
      <protection/>
    </xf>
    <xf numFmtId="166" fontId="2" fillId="0" borderId="0" xfId="23" applyAlignment="1">
      <alignment/>
      <protection/>
    </xf>
    <xf numFmtId="166" fontId="6" fillId="0" borderId="0" xfId="23" applyFont="1" applyAlignment="1">
      <alignment horizontal="left" vertical="center"/>
      <protection/>
    </xf>
    <xf numFmtId="166" fontId="5" fillId="0" borderId="0" xfId="23" applyFont="1">
      <alignment/>
      <protection/>
    </xf>
    <xf numFmtId="166" fontId="7" fillId="0" borderId="0" xfId="23" applyFont="1">
      <alignment/>
      <protection/>
    </xf>
    <xf numFmtId="166" fontId="8" fillId="0" borderId="0" xfId="23" applyFont="1" applyAlignment="1">
      <alignment vertical="center"/>
      <protection/>
    </xf>
    <xf numFmtId="170" fontId="10" fillId="0" borderId="0" xfId="19" applyNumberFormat="1" applyFont="1" applyFill="1" applyBorder="1" applyAlignment="1" applyProtection="1">
      <alignment horizontal="left" vertical="center"/>
      <protection/>
    </xf>
    <xf numFmtId="166" fontId="10" fillId="0" borderId="0" xfId="23" applyFont="1" applyAlignment="1">
      <alignment vertical="center"/>
      <protection/>
    </xf>
    <xf numFmtId="166" fontId="2" fillId="0" borderId="0" xfId="23" applyAlignment="1">
      <alignment horizontal="left" vertical="center"/>
      <protection/>
    </xf>
    <xf numFmtId="166" fontId="11" fillId="0" borderId="0" xfId="23" applyFont="1">
      <alignment/>
      <protection/>
    </xf>
    <xf numFmtId="166" fontId="11" fillId="0" borderId="0" xfId="23" applyFont="1" applyBorder="1" applyAlignment="1">
      <alignment horizontal="left" vertical="center"/>
      <protection/>
    </xf>
    <xf numFmtId="166" fontId="11" fillId="0" borderId="0" xfId="23" applyFont="1" applyAlignment="1">
      <alignment vertical="center"/>
      <protection/>
    </xf>
    <xf numFmtId="166" fontId="11" fillId="2" borderId="1" xfId="23" applyFont="1" applyFill="1" applyBorder="1" applyAlignment="1">
      <alignment horizontal="center" vertical="center"/>
      <protection/>
    </xf>
    <xf numFmtId="167" fontId="11" fillId="2" borderId="1" xfId="23" applyNumberFormat="1" applyFont="1" applyFill="1" applyBorder="1" applyAlignment="1">
      <alignment horizontal="center" vertical="center"/>
      <protection/>
    </xf>
    <xf numFmtId="166" fontId="11" fillId="2" borderId="1" xfId="23" applyFont="1" applyFill="1" applyBorder="1" applyAlignment="1">
      <alignment horizontal="center" vertical="center" wrapText="1"/>
      <protection/>
    </xf>
    <xf numFmtId="166" fontId="11" fillId="2" borderId="2" xfId="23" applyFont="1" applyFill="1" applyBorder="1" applyAlignment="1">
      <alignment horizontal="center" vertical="center" wrapText="1"/>
      <protection/>
    </xf>
    <xf numFmtId="166" fontId="11" fillId="2" borderId="2" xfId="23" applyFont="1" applyFill="1" applyBorder="1" applyAlignment="1">
      <alignment horizontal="center" wrapText="1"/>
      <protection/>
    </xf>
    <xf numFmtId="166" fontId="11" fillId="0" borderId="0" xfId="23" applyFont="1" applyFill="1" applyBorder="1" applyAlignment="1">
      <alignment horizontal="center"/>
      <protection/>
    </xf>
    <xf numFmtId="166" fontId="3" fillId="0" borderId="0" xfId="23" applyFont="1" applyFill="1" applyBorder="1" applyAlignment="1">
      <alignment horizontal="center"/>
      <protection/>
    </xf>
    <xf numFmtId="166" fontId="11" fillId="2" borderId="3" xfId="23" applyFont="1" applyFill="1" applyBorder="1" applyAlignment="1">
      <alignment horizontal="center" vertical="center"/>
      <protection/>
    </xf>
    <xf numFmtId="166" fontId="11" fillId="2" borderId="3" xfId="23" applyFont="1" applyFill="1" applyBorder="1" applyAlignment="1">
      <alignment horizontal="center" vertical="center" wrapText="1"/>
      <protection/>
    </xf>
    <xf numFmtId="166" fontId="11" fillId="2" borderId="3" xfId="23" applyFont="1" applyFill="1" applyBorder="1" applyAlignment="1">
      <alignment vertical="center" wrapText="1"/>
      <protection/>
    </xf>
    <xf numFmtId="170" fontId="11" fillId="2" borderId="3" xfId="23" applyNumberFormat="1" applyFont="1" applyFill="1" applyBorder="1" applyAlignment="1">
      <alignment horizontal="center" wrapText="1"/>
      <protection/>
    </xf>
    <xf numFmtId="166" fontId="11" fillId="0" borderId="0" xfId="23" applyFont="1" applyFill="1" applyBorder="1" applyAlignment="1">
      <alignment horizontal="center" vertical="center"/>
      <protection/>
    </xf>
    <xf numFmtId="166" fontId="11" fillId="0" borderId="0" xfId="23" applyFont="1" applyFill="1" applyBorder="1" applyAlignment="1">
      <alignment horizontal="center" vertical="center" wrapText="1"/>
      <protection/>
    </xf>
    <xf numFmtId="166" fontId="11" fillId="0" borderId="1" xfId="23" applyFont="1" applyBorder="1">
      <alignment/>
      <protection/>
    </xf>
    <xf numFmtId="166" fontId="11" fillId="0" borderId="1" xfId="23" applyFont="1" applyBorder="1" applyAlignment="1">
      <alignment horizontal="left"/>
      <protection/>
    </xf>
    <xf numFmtId="166" fontId="7" fillId="0" borderId="0" xfId="23" applyFont="1" applyFill="1" applyBorder="1">
      <alignment/>
      <protection/>
    </xf>
    <xf numFmtId="166" fontId="11" fillId="0" borderId="1" xfId="23" applyFont="1" applyFill="1" applyBorder="1">
      <alignment/>
      <protection/>
    </xf>
    <xf numFmtId="166" fontId="7" fillId="0" borderId="1" xfId="23" applyFont="1" applyFill="1" applyBorder="1" applyAlignment="1">
      <alignment horizontal="center"/>
      <protection/>
    </xf>
    <xf numFmtId="166" fontId="7" fillId="0" borderId="1" xfId="23" applyFont="1" applyFill="1" applyBorder="1">
      <alignment/>
      <protection/>
    </xf>
    <xf numFmtId="166" fontId="7" fillId="0" borderId="1" xfId="23" applyFont="1" applyFill="1" applyBorder="1" applyAlignment="1">
      <alignment horizontal="center" vertical="center"/>
      <protection/>
    </xf>
    <xf numFmtId="167" fontId="7" fillId="0" borderId="1" xfId="23" applyNumberFormat="1" applyFont="1" applyFill="1" applyBorder="1">
      <alignment/>
      <protection/>
    </xf>
    <xf numFmtId="166" fontId="2" fillId="0" borderId="0" xfId="23" applyFill="1">
      <alignment/>
      <protection/>
    </xf>
    <xf numFmtId="164" fontId="7" fillId="0" borderId="1" xfId="15" applyNumberFormat="1" applyFont="1" applyFill="1" applyBorder="1" applyAlignment="1" applyProtection="1">
      <alignment horizontal="center"/>
      <protection/>
    </xf>
    <xf numFmtId="166" fontId="7" fillId="0" borderId="1" xfId="23" applyFont="1" applyFill="1" applyBorder="1" applyAlignment="1">
      <alignment wrapText="1"/>
      <protection/>
    </xf>
    <xf numFmtId="166" fontId="7" fillId="0" borderId="0" xfId="23" applyFont="1" applyFill="1" applyBorder="1" applyAlignment="1">
      <alignment wrapText="1"/>
      <protection/>
    </xf>
    <xf numFmtId="164" fontId="7" fillId="0" borderId="1" xfId="23" applyNumberFormat="1" applyFont="1" applyFill="1" applyBorder="1" applyAlignment="1" applyProtection="1">
      <alignment/>
      <protection/>
    </xf>
    <xf numFmtId="164" fontId="7" fillId="0" borderId="1" xfId="23" applyNumberFormat="1" applyFont="1" applyFill="1" applyBorder="1" applyAlignment="1" applyProtection="1">
      <alignment wrapText="1"/>
      <protection/>
    </xf>
    <xf numFmtId="166" fontId="2" fillId="0" borderId="1" xfId="23" applyFill="1" applyBorder="1" applyAlignment="1">
      <alignment horizontal="center" vertical="center"/>
      <protection/>
    </xf>
    <xf numFmtId="167" fontId="2" fillId="0" borderId="1" xfId="23" applyNumberFormat="1" applyFill="1" applyBorder="1">
      <alignment/>
      <protection/>
    </xf>
    <xf numFmtId="166" fontId="2" fillId="0" borderId="1" xfId="23" applyFill="1" applyBorder="1">
      <alignment/>
      <protection/>
    </xf>
    <xf numFmtId="166" fontId="3" fillId="0" borderId="1" xfId="23" applyFont="1" applyFill="1" applyBorder="1">
      <alignment/>
      <protection/>
    </xf>
    <xf numFmtId="166" fontId="11" fillId="3" borderId="1" xfId="23" applyFont="1" applyFill="1" applyBorder="1" applyAlignment="1">
      <alignment horizontal="left"/>
      <protection/>
    </xf>
    <xf numFmtId="167" fontId="11" fillId="3" borderId="4" xfId="23" applyNumberFormat="1" applyFont="1" applyFill="1" applyBorder="1" applyAlignment="1">
      <alignment horizontal="right"/>
      <protection/>
    </xf>
    <xf numFmtId="167" fontId="11" fillId="3" borderId="1" xfId="23" applyNumberFormat="1" applyFont="1" applyFill="1" applyBorder="1" applyAlignment="1">
      <alignment horizontal="right"/>
      <protection/>
    </xf>
    <xf numFmtId="166" fontId="11" fillId="0" borderId="1" xfId="23" applyFont="1" applyFill="1" applyBorder="1" applyAlignment="1">
      <alignment horizontal="left"/>
      <protection/>
    </xf>
    <xf numFmtId="166" fontId="11" fillId="0" borderId="4" xfId="23" applyFont="1" applyFill="1" applyBorder="1">
      <alignment/>
      <protection/>
    </xf>
    <xf numFmtId="166" fontId="7" fillId="0" borderId="4" xfId="23" applyFont="1" applyFill="1" applyBorder="1" applyAlignment="1">
      <alignment horizontal="center"/>
      <protection/>
    </xf>
    <xf numFmtId="168" fontId="7" fillId="0" borderId="1" xfId="23" applyNumberFormat="1" applyFont="1" applyFill="1" applyBorder="1" applyAlignment="1">
      <alignment wrapText="1"/>
      <protection/>
    </xf>
    <xf numFmtId="166" fontId="11" fillId="0" borderId="5" xfId="23" applyFont="1" applyFill="1" applyBorder="1">
      <alignment/>
      <protection/>
    </xf>
    <xf numFmtId="166" fontId="7" fillId="0" borderId="2" xfId="23" applyFont="1" applyFill="1" applyBorder="1">
      <alignment/>
      <protection/>
    </xf>
    <xf numFmtId="166" fontId="7" fillId="0" borderId="2" xfId="23" applyFont="1" applyFill="1" applyBorder="1" applyAlignment="1">
      <alignment horizontal="center" vertical="center"/>
      <protection/>
    </xf>
    <xf numFmtId="167" fontId="7" fillId="0" borderId="2" xfId="23" applyNumberFormat="1" applyFont="1" applyFill="1" applyBorder="1">
      <alignment/>
      <protection/>
    </xf>
    <xf numFmtId="166" fontId="2" fillId="0" borderId="0" xfId="23" applyFill="1" applyBorder="1">
      <alignment/>
      <protection/>
    </xf>
    <xf numFmtId="166" fontId="11" fillId="3" borderId="3" xfId="23" applyFont="1" applyFill="1" applyBorder="1" applyAlignment="1">
      <alignment/>
      <protection/>
    </xf>
    <xf numFmtId="167" fontId="11" fillId="3" borderId="6" xfId="23" applyNumberFormat="1" applyFont="1" applyFill="1" applyBorder="1" applyAlignment="1">
      <alignment horizontal="right"/>
      <protection/>
    </xf>
    <xf numFmtId="167" fontId="3" fillId="3" borderId="3" xfId="23" applyNumberFormat="1" applyFont="1" applyFill="1" applyBorder="1" applyAlignment="1">
      <alignment/>
      <protection/>
    </xf>
    <xf numFmtId="166" fontId="11" fillId="3" borderId="1" xfId="23" applyFont="1" applyFill="1" applyBorder="1" applyAlignment="1">
      <alignment/>
      <protection/>
    </xf>
    <xf numFmtId="166" fontId="7" fillId="0" borderId="7" xfId="23" applyFont="1" applyFill="1" applyBorder="1">
      <alignment/>
      <protection/>
    </xf>
    <xf numFmtId="164" fontId="11" fillId="0" borderId="1" xfId="23" applyNumberFormat="1" applyFont="1" applyBorder="1">
      <alignment/>
      <protection/>
    </xf>
    <xf numFmtId="164" fontId="11" fillId="0" borderId="4" xfId="23" applyNumberFormat="1" applyFont="1" applyBorder="1" applyAlignment="1">
      <alignment horizontal="left"/>
      <protection/>
    </xf>
    <xf numFmtId="164" fontId="7" fillId="0" borderId="7" xfId="23" applyNumberFormat="1" applyFont="1" applyFill="1" applyBorder="1">
      <alignment/>
      <protection/>
    </xf>
    <xf numFmtId="164" fontId="7" fillId="0" borderId="0" xfId="23" applyNumberFormat="1" applyFont="1" applyFill="1" applyBorder="1">
      <alignment/>
      <protection/>
    </xf>
    <xf numFmtId="164" fontId="2" fillId="0" borderId="0" xfId="23" applyNumberFormat="1">
      <alignment/>
      <protection/>
    </xf>
    <xf numFmtId="164" fontId="11" fillId="0" borderId="1" xfId="23" applyNumberFormat="1" applyFont="1" applyFill="1" applyBorder="1">
      <alignment/>
      <protection/>
    </xf>
    <xf numFmtId="164" fontId="7" fillId="0" borderId="1" xfId="23" applyNumberFormat="1" applyFont="1" applyFill="1" applyBorder="1" applyAlignment="1">
      <alignment horizontal="center" vertical="center"/>
      <protection/>
    </xf>
    <xf numFmtId="164" fontId="7" fillId="0" borderId="1" xfId="23" applyNumberFormat="1" applyFont="1" applyFill="1" applyBorder="1">
      <alignment/>
      <protection/>
    </xf>
    <xf numFmtId="167" fontId="7" fillId="0" borderId="4" xfId="23" applyNumberFormat="1" applyFont="1" applyFill="1" applyBorder="1">
      <alignment/>
      <protection/>
    </xf>
    <xf numFmtId="164" fontId="2" fillId="0" borderId="0" xfId="23" applyNumberFormat="1" applyFill="1">
      <alignment/>
      <protection/>
    </xf>
    <xf numFmtId="164" fontId="11" fillId="3" borderId="1" xfId="23" applyNumberFormat="1" applyFont="1" applyFill="1" applyBorder="1" applyAlignment="1">
      <alignment/>
      <protection/>
    </xf>
    <xf numFmtId="164" fontId="2" fillId="0" borderId="7" xfId="23" applyNumberFormat="1" applyFill="1" applyBorder="1" applyAlignment="1">
      <alignment/>
      <protection/>
    </xf>
    <xf numFmtId="164" fontId="11" fillId="0" borderId="1" xfId="23" applyNumberFormat="1" applyFont="1" applyFill="1" applyBorder="1" applyAlignment="1">
      <alignment horizontal="left"/>
      <protection/>
    </xf>
    <xf numFmtId="166" fontId="11" fillId="0" borderId="1" xfId="23" applyFont="1" applyFill="1" applyBorder="1" applyAlignment="1">
      <alignment wrapText="1"/>
      <protection/>
    </xf>
    <xf numFmtId="167" fontId="9" fillId="0" borderId="1" xfId="23" applyNumberFormat="1" applyFont="1" applyFill="1" applyBorder="1">
      <alignment/>
      <protection/>
    </xf>
    <xf numFmtId="167" fontId="11" fillId="3" borderId="4" xfId="23" applyNumberFormat="1" applyFont="1" applyFill="1" applyBorder="1" applyAlignment="1">
      <alignment/>
      <protection/>
    </xf>
    <xf numFmtId="164" fontId="11" fillId="0" borderId="5" xfId="23" applyNumberFormat="1" applyFont="1" applyBorder="1" applyAlignment="1">
      <alignment horizontal="left"/>
      <protection/>
    </xf>
    <xf numFmtId="166" fontId="8" fillId="0" borderId="1" xfId="23" applyFont="1" applyFill="1" applyBorder="1">
      <alignment/>
      <protection/>
    </xf>
    <xf numFmtId="166" fontId="9" fillId="0" borderId="1" xfId="23" applyFont="1" applyFill="1" applyBorder="1" applyAlignment="1">
      <alignment horizontal="center" vertical="center" wrapText="1"/>
      <protection/>
    </xf>
    <xf numFmtId="167" fontId="9" fillId="0" borderId="1" xfId="23" applyNumberFormat="1" applyFont="1" applyFill="1" applyBorder="1" applyAlignment="1">
      <alignment wrapText="1"/>
      <protection/>
    </xf>
    <xf numFmtId="166" fontId="9" fillId="0" borderId="1" xfId="23" applyFont="1" applyFill="1" applyBorder="1" applyAlignment="1">
      <alignment wrapText="1"/>
      <protection/>
    </xf>
    <xf numFmtId="166" fontId="9" fillId="0" borderId="0" xfId="23" applyFont="1" applyFill="1" applyBorder="1">
      <alignment/>
      <protection/>
    </xf>
    <xf numFmtId="166" fontId="12" fillId="0" borderId="0" xfId="23" applyFont="1" applyFill="1">
      <alignment/>
      <protection/>
    </xf>
    <xf numFmtId="166" fontId="7" fillId="0" borderId="1" xfId="23" applyFont="1" applyFill="1" applyBorder="1" applyAlignment="1">
      <alignment horizontal="center" vertical="center" wrapText="1"/>
      <protection/>
    </xf>
    <xf numFmtId="167" fontId="7" fillId="0" borderId="1" xfId="23" applyNumberFormat="1" applyFont="1" applyFill="1" applyBorder="1" applyAlignment="1">
      <alignment wrapText="1"/>
      <protection/>
    </xf>
    <xf numFmtId="167" fontId="11" fillId="3" borderId="1" xfId="23" applyNumberFormat="1" applyFont="1" applyFill="1" applyBorder="1" applyAlignment="1">
      <alignment/>
      <protection/>
    </xf>
    <xf numFmtId="166" fontId="11" fillId="4" borderId="2" xfId="23" applyFont="1" applyFill="1" applyBorder="1" applyAlignment="1" applyProtection="1">
      <alignment horizontal="left"/>
      <protection/>
    </xf>
    <xf numFmtId="166" fontId="7" fillId="0" borderId="1" xfId="23" applyFont="1" applyFill="1" applyBorder="1" applyAlignment="1" applyProtection="1">
      <alignment horizontal="center"/>
      <protection/>
    </xf>
    <xf numFmtId="167" fontId="7" fillId="0" borderId="1" xfId="23" applyNumberFormat="1" applyFont="1" applyFill="1" applyBorder="1" applyAlignment="1" applyProtection="1">
      <alignment horizontal="center"/>
      <protection/>
    </xf>
    <xf numFmtId="167" fontId="7" fillId="0" borderId="3" xfId="23" applyNumberFormat="1" applyFont="1" applyFill="1" applyBorder="1">
      <alignment/>
      <protection/>
    </xf>
    <xf numFmtId="166" fontId="7" fillId="0" borderId="1" xfId="24" applyNumberFormat="1" applyFont="1" applyFill="1" applyBorder="1" applyAlignment="1" applyProtection="1">
      <alignment/>
      <protection/>
    </xf>
    <xf numFmtId="166" fontId="11" fillId="3" borderId="2" xfId="23" applyFont="1" applyFill="1" applyBorder="1" applyAlignment="1" applyProtection="1">
      <alignment horizontal="left"/>
      <protection/>
    </xf>
    <xf numFmtId="167" fontId="11" fillId="3" borderId="1" xfId="24" applyNumberFormat="1" applyFont="1" applyFill="1" applyBorder="1" applyAlignment="1" applyProtection="1">
      <alignment/>
      <protection/>
    </xf>
    <xf numFmtId="172" fontId="11" fillId="0" borderId="1" xfId="23" applyNumberFormat="1" applyFont="1" applyFill="1" applyBorder="1" applyAlignment="1">
      <alignment horizontal="left"/>
      <protection/>
    </xf>
    <xf numFmtId="166" fontId="7" fillId="0" borderId="2" xfId="23" applyFont="1" applyFill="1" applyBorder="1" applyAlignment="1">
      <alignment horizontal="center"/>
      <protection/>
    </xf>
    <xf numFmtId="164" fontId="13" fillId="0" borderId="1" xfId="23" applyNumberFormat="1" applyFont="1" applyBorder="1" applyAlignment="1">
      <alignment horizontal="center"/>
      <protection/>
    </xf>
    <xf numFmtId="164" fontId="13" fillId="0" borderId="1" xfId="23" applyNumberFormat="1" applyFont="1" applyBorder="1">
      <alignment/>
      <protection/>
    </xf>
    <xf numFmtId="171" fontId="13" fillId="0" borderId="1" xfId="15" applyFont="1" applyFill="1" applyBorder="1" applyAlignment="1" applyProtection="1">
      <alignment/>
      <protection/>
    </xf>
    <xf numFmtId="164" fontId="13" fillId="0" borderId="0" xfId="23" applyNumberFormat="1" applyFont="1">
      <alignment/>
      <protection/>
    </xf>
    <xf numFmtId="173" fontId="14" fillId="0" borderId="1" xfId="15" applyNumberFormat="1" applyFont="1" applyFill="1" applyBorder="1" applyAlignment="1" applyProtection="1">
      <alignment/>
      <protection/>
    </xf>
    <xf numFmtId="173" fontId="14" fillId="0" borderId="1" xfId="15" applyNumberFormat="1" applyFont="1" applyFill="1" applyBorder="1" applyAlignment="1" applyProtection="1">
      <alignment horizontal="center"/>
      <protection/>
    </xf>
    <xf numFmtId="170" fontId="13" fillId="0" borderId="0" xfId="23" applyNumberFormat="1" applyFont="1">
      <alignment/>
      <protection/>
    </xf>
    <xf numFmtId="164" fontId="14" fillId="0" borderId="1" xfId="23" applyNumberFormat="1" applyFont="1" applyBorder="1">
      <alignment/>
      <protection/>
    </xf>
    <xf numFmtId="164" fontId="14" fillId="0" borderId="1" xfId="23" applyNumberFormat="1" applyFont="1" applyBorder="1" applyAlignment="1">
      <alignment horizontal="center"/>
      <protection/>
    </xf>
    <xf numFmtId="171" fontId="15" fillId="0" borderId="1" xfId="15" applyFont="1" applyFill="1" applyBorder="1" applyAlignment="1" applyProtection="1">
      <alignment/>
      <protection/>
    </xf>
    <xf numFmtId="164" fontId="15" fillId="0" borderId="0" xfId="23" applyNumberFormat="1" applyFont="1">
      <alignment/>
      <protection/>
    </xf>
    <xf numFmtId="173" fontId="0" fillId="0" borderId="1" xfId="15" applyNumberFormat="1" applyFont="1" applyFill="1" applyBorder="1" applyAlignment="1" applyProtection="1">
      <alignment/>
      <protection/>
    </xf>
    <xf numFmtId="173" fontId="0" fillId="0" borderId="1" xfId="15" applyNumberFormat="1" applyFont="1" applyFill="1" applyBorder="1" applyAlignment="1" applyProtection="1">
      <alignment horizontal="center"/>
      <protection/>
    </xf>
    <xf numFmtId="164" fontId="13" fillId="0" borderId="8" xfId="23" applyNumberFormat="1" applyFont="1" applyBorder="1" applyAlignment="1">
      <alignment horizontal="center"/>
      <protection/>
    </xf>
    <xf numFmtId="164" fontId="11" fillId="0" borderId="1" xfId="23" applyNumberFormat="1" applyFont="1" applyFill="1" applyBorder="1" applyAlignment="1">
      <alignment vertical="center"/>
      <protection/>
    </xf>
    <xf numFmtId="167" fontId="7" fillId="0" borderId="1" xfId="23" applyNumberFormat="1" applyFont="1" applyFill="1" applyBorder="1" applyAlignment="1">
      <alignment vertical="center"/>
      <protection/>
    </xf>
    <xf numFmtId="164" fontId="7" fillId="0" borderId="1" xfId="23" applyNumberFormat="1" applyFont="1" applyFill="1" applyBorder="1" applyAlignment="1">
      <alignment horizontal="center"/>
      <protection/>
    </xf>
    <xf numFmtId="164" fontId="2" fillId="0" borderId="1" xfId="23" applyNumberFormat="1" applyFill="1" applyBorder="1">
      <alignment/>
      <protection/>
    </xf>
    <xf numFmtId="164" fontId="11" fillId="3" borderId="1" xfId="23" applyNumberFormat="1" applyFont="1" applyFill="1" applyBorder="1" applyAlignment="1">
      <alignment horizontal="left"/>
      <protection/>
    </xf>
    <xf numFmtId="166" fontId="11" fillId="0" borderId="2" xfId="23" applyFont="1" applyBorder="1" applyAlignment="1">
      <alignment horizontal="left"/>
      <protection/>
    </xf>
    <xf numFmtId="164" fontId="11" fillId="0" borderId="4" xfId="23" applyNumberFormat="1" applyFont="1" applyFill="1" applyBorder="1" applyAlignment="1">
      <alignment horizontal="left"/>
      <protection/>
    </xf>
    <xf numFmtId="167" fontId="7" fillId="0" borderId="1" xfId="15" applyNumberFormat="1" applyFont="1" applyFill="1" applyBorder="1" applyAlignment="1" applyProtection="1">
      <alignment/>
      <protection/>
    </xf>
    <xf numFmtId="164" fontId="7" fillId="0" borderId="1" xfId="23" applyNumberFormat="1" applyFont="1" applyFill="1" applyBorder="1" applyAlignment="1">
      <alignment wrapText="1"/>
      <protection/>
    </xf>
    <xf numFmtId="164" fontId="7" fillId="0" borderId="1" xfId="15" applyNumberFormat="1" applyFont="1" applyFill="1" applyBorder="1" applyAlignment="1" applyProtection="1">
      <alignment horizontal="right"/>
      <protection/>
    </xf>
    <xf numFmtId="164" fontId="7" fillId="0" borderId="1" xfId="15" applyNumberFormat="1" applyFont="1" applyFill="1" applyBorder="1" applyAlignment="1" applyProtection="1">
      <alignment/>
      <protection/>
    </xf>
    <xf numFmtId="164" fontId="7" fillId="0" borderId="1" xfId="23" applyNumberFormat="1" applyFont="1" applyFill="1" applyBorder="1" applyAlignment="1">
      <alignment horizontal="center" wrapText="1"/>
      <protection/>
    </xf>
    <xf numFmtId="167" fontId="7" fillId="0" borderId="1" xfId="23" applyNumberFormat="1" applyFont="1" applyFill="1" applyBorder="1" applyAlignment="1">
      <alignment horizontal="center" vertical="top"/>
      <protection/>
    </xf>
    <xf numFmtId="164" fontId="7" fillId="0" borderId="1" xfId="23" applyNumberFormat="1" applyFont="1" applyBorder="1">
      <alignment/>
      <protection/>
    </xf>
    <xf numFmtId="164" fontId="13" fillId="0" borderId="1" xfId="23" applyNumberFormat="1" applyFont="1" applyFill="1" applyBorder="1" applyAlignment="1">
      <alignment horizontal="center" wrapText="1"/>
      <protection/>
    </xf>
    <xf numFmtId="164" fontId="13" fillId="0" borderId="1" xfId="23" applyNumberFormat="1" applyFont="1" applyFill="1" applyBorder="1" applyAlignment="1">
      <alignment wrapText="1"/>
      <protection/>
    </xf>
    <xf numFmtId="164" fontId="13" fillId="0" borderId="1" xfId="23" applyNumberFormat="1" applyFont="1" applyFill="1" applyBorder="1" applyAlignment="1">
      <alignment horizontal="center"/>
      <protection/>
    </xf>
    <xf numFmtId="167" fontId="13" fillId="0" borderId="1" xfId="23" applyNumberFormat="1" applyFont="1" applyFill="1" applyBorder="1">
      <alignment/>
      <protection/>
    </xf>
    <xf numFmtId="164" fontId="14" fillId="0" borderId="1" xfId="23" applyNumberFormat="1" applyFont="1" applyFill="1" applyBorder="1" applyAlignment="1">
      <alignment horizontal="center"/>
      <protection/>
    </xf>
    <xf numFmtId="164" fontId="13" fillId="0" borderId="1" xfId="23" applyNumberFormat="1" applyFont="1" applyFill="1" applyBorder="1" applyAlignment="1">
      <alignment/>
      <protection/>
    </xf>
    <xf numFmtId="164" fontId="7" fillId="0" borderId="1" xfId="23" applyNumberFormat="1" applyFont="1" applyFill="1" applyBorder="1" applyAlignment="1">
      <alignment/>
      <protection/>
    </xf>
    <xf numFmtId="164" fontId="7" fillId="0" borderId="1" xfId="23" applyNumberFormat="1" applyFont="1" applyBorder="1" applyAlignment="1">
      <alignment horizontal="center"/>
      <protection/>
    </xf>
    <xf numFmtId="164" fontId="7" fillId="0" borderId="1" xfId="23" applyNumberFormat="1" applyFont="1" applyBorder="1" applyAlignment="1">
      <alignment horizontal="center" vertical="center"/>
      <protection/>
    </xf>
    <xf numFmtId="167" fontId="7" fillId="0" borderId="1" xfId="23" applyNumberFormat="1" applyFont="1" applyBorder="1">
      <alignment/>
      <protection/>
    </xf>
    <xf numFmtId="167" fontId="7" fillId="4" borderId="1" xfId="23" applyNumberFormat="1" applyFont="1" applyFill="1" applyBorder="1">
      <alignment/>
      <protection/>
    </xf>
    <xf numFmtId="166" fontId="11" fillId="0" borderId="4" xfId="23" applyFont="1" applyBorder="1" applyAlignment="1">
      <alignment horizontal="left"/>
      <protection/>
    </xf>
    <xf numFmtId="166" fontId="2" fillId="0" borderId="7" xfId="23" applyFill="1" applyBorder="1">
      <alignment/>
      <protection/>
    </xf>
    <xf numFmtId="166" fontId="11" fillId="4" borderId="1" xfId="23" applyFont="1" applyFill="1" applyBorder="1">
      <alignment/>
      <protection/>
    </xf>
    <xf numFmtId="166" fontId="7" fillId="4" borderId="1" xfId="23" applyFont="1" applyFill="1" applyBorder="1">
      <alignment/>
      <protection/>
    </xf>
    <xf numFmtId="166" fontId="7" fillId="0" borderId="1" xfId="23" applyFont="1" applyBorder="1" applyAlignment="1">
      <alignment horizontal="center" vertical="center"/>
      <protection/>
    </xf>
    <xf numFmtId="166" fontId="11" fillId="4" borderId="4" xfId="23" applyFont="1" applyFill="1" applyBorder="1" applyAlignment="1">
      <alignment/>
      <protection/>
    </xf>
    <xf numFmtId="166" fontId="11" fillId="4" borderId="9" xfId="23" applyFont="1" applyFill="1" applyBorder="1" applyAlignment="1">
      <alignment/>
      <protection/>
    </xf>
    <xf numFmtId="166" fontId="2" fillId="4" borderId="10" xfId="23" applyFill="1" applyBorder="1" applyAlignment="1">
      <alignment horizontal="center"/>
      <protection/>
    </xf>
    <xf numFmtId="166" fontId="2" fillId="0" borderId="0" xfId="23" applyAlignment="1">
      <alignment wrapText="1"/>
      <protection/>
    </xf>
    <xf numFmtId="166" fontId="16" fillId="2" borderId="1" xfId="23" applyFont="1" applyFill="1" applyBorder="1" applyAlignment="1">
      <alignment horizontal="left"/>
      <protection/>
    </xf>
    <xf numFmtId="167" fontId="17" fillId="2" borderId="1" xfId="23" applyNumberFormat="1" applyFont="1" applyFill="1" applyBorder="1">
      <alignment/>
      <protection/>
    </xf>
    <xf numFmtId="166" fontId="18" fillId="0" borderId="0" xfId="23" applyFont="1">
      <alignment/>
      <protection/>
    </xf>
    <xf numFmtId="166" fontId="19" fillId="0" borderId="0" xfId="23" applyFont="1" applyBorder="1">
      <alignment/>
      <protection/>
    </xf>
    <xf numFmtId="166" fontId="20" fillId="0" borderId="0" xfId="23" applyFont="1" applyBorder="1">
      <alignment/>
      <protection/>
    </xf>
    <xf numFmtId="166" fontId="20" fillId="0" borderId="0" xfId="23" applyFont="1" applyBorder="1" applyAlignment="1">
      <alignment horizontal="center" vertical="center"/>
      <protection/>
    </xf>
    <xf numFmtId="167" fontId="20" fillId="0" borderId="0" xfId="23" applyNumberFormat="1" applyFont="1" applyBorder="1">
      <alignment/>
      <protection/>
    </xf>
    <xf numFmtId="166" fontId="21" fillId="0" borderId="0" xfId="23" applyFont="1" applyBorder="1" applyAlignment="1">
      <alignment horizontal="center" vertical="center"/>
      <protection/>
    </xf>
    <xf numFmtId="166" fontId="19" fillId="0" borderId="0" xfId="23" applyFont="1" applyBorder="1" applyAlignment="1">
      <alignment horizontal="center" vertical="center"/>
      <protection/>
    </xf>
    <xf numFmtId="167" fontId="20" fillId="0" borderId="0" xfId="23" applyNumberFormat="1" applyFont="1" applyBorder="1" applyAlignment="1">
      <alignment horizontal="center" vertical="center"/>
      <protection/>
    </xf>
    <xf numFmtId="168" fontId="5" fillId="0" borderId="0" xfId="23" applyNumberFormat="1" applyFont="1" applyBorder="1" applyAlignment="1">
      <alignment vertical="center"/>
      <protection/>
    </xf>
    <xf numFmtId="166" fontId="20" fillId="0" borderId="0" xfId="23" applyFont="1" applyBorder="1" applyAlignment="1">
      <alignment/>
      <protection/>
    </xf>
    <xf numFmtId="166" fontId="22" fillId="0" borderId="0" xfId="23" applyFont="1" applyBorder="1" applyAlignment="1">
      <alignment horizontal="left" vertical="center"/>
      <protection/>
    </xf>
    <xf numFmtId="166" fontId="5" fillId="0" borderId="0" xfId="23" applyFont="1" applyBorder="1">
      <alignment/>
      <protection/>
    </xf>
    <xf numFmtId="166" fontId="7" fillId="0" borderId="0" xfId="23" applyFont="1" applyBorder="1">
      <alignment/>
      <protection/>
    </xf>
    <xf numFmtId="166" fontId="8" fillId="0" borderId="0" xfId="23" applyFont="1" applyBorder="1" applyAlignment="1">
      <alignment vertical="center"/>
      <protection/>
    </xf>
    <xf numFmtId="166" fontId="10" fillId="0" borderId="0" xfId="23" applyFont="1" applyBorder="1" applyAlignment="1">
      <alignment vertical="center"/>
      <protection/>
    </xf>
    <xf numFmtId="166" fontId="20" fillId="0" borderId="0" xfId="23" applyFont="1" applyBorder="1" applyAlignment="1">
      <alignment horizontal="left" vertical="center"/>
      <protection/>
    </xf>
    <xf numFmtId="166" fontId="11" fillId="0" borderId="0" xfId="23" applyFont="1" applyBorder="1">
      <alignment/>
      <protection/>
    </xf>
    <xf numFmtId="166" fontId="11" fillId="0" borderId="0" xfId="23" applyFont="1" applyBorder="1" applyAlignment="1">
      <alignment vertical="center"/>
      <protection/>
    </xf>
    <xf numFmtId="166" fontId="19" fillId="0" borderId="0" xfId="23" applyFont="1" applyFill="1" applyBorder="1" applyAlignment="1">
      <alignment horizontal="center"/>
      <protection/>
    </xf>
    <xf numFmtId="166" fontId="20" fillId="0" borderId="0" xfId="23" applyFont="1" applyFill="1" applyBorder="1">
      <alignment/>
      <protection/>
    </xf>
    <xf numFmtId="164" fontId="7" fillId="0" borderId="4" xfId="23" applyNumberFormat="1" applyFont="1" applyFill="1" applyBorder="1" applyAlignment="1">
      <alignment horizontal="center"/>
      <protection/>
    </xf>
    <xf numFmtId="167" fontId="19" fillId="3" borderId="1" xfId="23" applyNumberFormat="1" applyFont="1" applyFill="1" applyBorder="1" applyAlignment="1">
      <alignment/>
      <protection/>
    </xf>
    <xf numFmtId="168" fontId="7" fillId="0" borderId="1" xfId="23" applyNumberFormat="1" applyFont="1" applyFill="1" applyBorder="1" applyAlignment="1">
      <alignment horizontal="left" vertical="center" wrapText="1"/>
      <protection/>
    </xf>
    <xf numFmtId="172" fontId="7" fillId="0" borderId="1" xfId="23" applyNumberFormat="1" applyFont="1" applyFill="1" applyBorder="1" applyAlignment="1">
      <alignment horizontal="center" vertical="center"/>
      <protection/>
    </xf>
    <xf numFmtId="167" fontId="7" fillId="0" borderId="1" xfId="23" applyNumberFormat="1" applyFont="1" applyFill="1" applyBorder="1" applyAlignment="1">
      <alignment horizontal="right"/>
      <protection/>
    </xf>
    <xf numFmtId="166" fontId="11" fillId="0" borderId="1" xfId="23" applyFont="1" applyFill="1" applyBorder="1" applyAlignment="1">
      <alignment horizontal="center" vertical="center" wrapText="1"/>
      <protection/>
    </xf>
    <xf numFmtId="168" fontId="7" fillId="0" borderId="1" xfId="23" applyNumberFormat="1" applyFont="1" applyFill="1" applyBorder="1" applyAlignment="1">
      <alignment horizontal="left" vertical="center"/>
      <protection/>
    </xf>
    <xf numFmtId="164" fontId="20" fillId="0" borderId="0" xfId="23" applyNumberFormat="1" applyFont="1" applyBorder="1">
      <alignment/>
      <protection/>
    </xf>
    <xf numFmtId="164" fontId="8" fillId="0" borderId="1" xfId="23" applyNumberFormat="1" applyFont="1" applyFill="1" applyBorder="1">
      <alignment/>
      <protection/>
    </xf>
    <xf numFmtId="172" fontId="9" fillId="0" borderId="2" xfId="23" applyNumberFormat="1" applyFont="1" applyFill="1" applyBorder="1" applyAlignment="1">
      <alignment horizontal="left"/>
      <protection/>
    </xf>
    <xf numFmtId="172" fontId="9" fillId="0" borderId="1" xfId="23" applyNumberFormat="1" applyFont="1" applyFill="1" applyBorder="1" applyAlignment="1">
      <alignment horizontal="center" vertical="center"/>
      <protection/>
    </xf>
    <xf numFmtId="167" fontId="9" fillId="0" borderId="1" xfId="23" applyNumberFormat="1" applyFont="1" applyFill="1" applyBorder="1" applyAlignment="1">
      <alignment horizontal="right"/>
      <protection/>
    </xf>
    <xf numFmtId="171" fontId="9" fillId="0" borderId="1" xfId="15" applyFont="1" applyFill="1" applyBorder="1" applyAlignment="1" applyProtection="1">
      <alignment horizontal="left"/>
      <protection/>
    </xf>
    <xf numFmtId="164" fontId="9" fillId="0" borderId="7" xfId="23" applyNumberFormat="1" applyFont="1" applyFill="1" applyBorder="1">
      <alignment/>
      <protection/>
    </xf>
    <xf numFmtId="164" fontId="9" fillId="0" borderId="0" xfId="23" applyNumberFormat="1" applyFont="1" applyFill="1" applyBorder="1">
      <alignment/>
      <protection/>
    </xf>
    <xf numFmtId="164" fontId="23" fillId="0" borderId="0" xfId="23" applyNumberFormat="1" applyFont="1" applyFill="1" applyBorder="1">
      <alignment/>
      <protection/>
    </xf>
    <xf numFmtId="172" fontId="9" fillId="0" borderId="2" xfId="23" applyNumberFormat="1" applyFont="1" applyFill="1" applyBorder="1" applyAlignment="1">
      <alignment horizontal="left" wrapText="1"/>
      <protection/>
    </xf>
    <xf numFmtId="171" fontId="9" fillId="0" borderId="4" xfId="15" applyFont="1" applyFill="1" applyBorder="1" applyAlignment="1" applyProtection="1">
      <alignment horizontal="left"/>
      <protection/>
    </xf>
    <xf numFmtId="167" fontId="9" fillId="0" borderId="4" xfId="23" applyNumberFormat="1" applyFont="1" applyFill="1" applyBorder="1">
      <alignment/>
      <protection/>
    </xf>
    <xf numFmtId="164" fontId="20" fillId="0" borderId="7" xfId="23" applyNumberFormat="1" applyFont="1" applyFill="1" applyBorder="1" applyAlignment="1">
      <alignment/>
      <protection/>
    </xf>
    <xf numFmtId="164" fontId="20" fillId="0" borderId="0" xfId="23" applyNumberFormat="1" applyFont="1" applyFill="1" applyBorder="1">
      <alignment/>
      <protection/>
    </xf>
    <xf numFmtId="166" fontId="9" fillId="0" borderId="1" xfId="23" applyFont="1" applyFill="1" applyBorder="1" applyAlignment="1">
      <alignment horizontal="center"/>
      <protection/>
    </xf>
    <xf numFmtId="166" fontId="9" fillId="0" borderId="1" xfId="23" applyFont="1" applyFill="1" applyBorder="1" applyAlignment="1">
      <alignment horizontal="center" vertical="center"/>
      <protection/>
    </xf>
    <xf numFmtId="166" fontId="23" fillId="0" borderId="0" xfId="23" applyFont="1" applyFill="1" applyBorder="1">
      <alignment/>
      <protection/>
    </xf>
    <xf numFmtId="166" fontId="7" fillId="0" borderId="1" xfId="23" applyFont="1" applyFill="1" applyBorder="1" applyAlignment="1">
      <alignment horizontal="center" wrapText="1"/>
      <protection/>
    </xf>
    <xf numFmtId="167" fontId="19" fillId="3" borderId="4" xfId="23" applyNumberFormat="1" applyFont="1" applyFill="1" applyBorder="1" applyAlignment="1">
      <alignment/>
      <protection/>
    </xf>
    <xf numFmtId="174" fontId="11" fillId="0" borderId="0" xfId="23" applyNumberFormat="1" applyFont="1" applyFill="1" applyBorder="1" applyAlignment="1">
      <alignment horizontal="center"/>
      <protection/>
    </xf>
    <xf numFmtId="174" fontId="7" fillId="0" borderId="0" xfId="23" applyNumberFormat="1" applyFont="1" applyFill="1" applyBorder="1">
      <alignment/>
      <protection/>
    </xf>
    <xf numFmtId="174" fontId="7" fillId="0" borderId="1" xfId="23" applyNumberFormat="1" applyFont="1" applyFill="1" applyBorder="1" applyAlignment="1">
      <alignment horizontal="center"/>
      <protection/>
    </xf>
    <xf numFmtId="166" fontId="8" fillId="0" borderId="4" xfId="23" applyFont="1" applyFill="1" applyBorder="1">
      <alignment/>
      <protection/>
    </xf>
    <xf numFmtId="172" fontId="7" fillId="0" borderId="1" xfId="23" applyNumberFormat="1" applyFont="1" applyFill="1" applyBorder="1" applyAlignment="1" applyProtection="1">
      <alignment/>
      <protection/>
    </xf>
    <xf numFmtId="172" fontId="7" fillId="0" borderId="1" xfId="23" applyNumberFormat="1" applyFont="1" applyFill="1" applyBorder="1" applyAlignment="1" applyProtection="1">
      <alignment horizontal="right"/>
      <protection/>
    </xf>
    <xf numFmtId="172" fontId="7" fillId="0" borderId="1" xfId="24" applyNumberFormat="1" applyFont="1" applyFill="1" applyBorder="1" applyAlignment="1" applyProtection="1">
      <alignment/>
      <protection/>
    </xf>
    <xf numFmtId="164" fontId="9" fillId="0" borderId="4" xfId="23" applyNumberFormat="1" applyFont="1" applyFill="1" applyBorder="1" applyAlignment="1">
      <alignment horizontal="center"/>
      <protection/>
    </xf>
    <xf numFmtId="174" fontId="11" fillId="0" borderId="0" xfId="23" applyNumberFormat="1" applyFont="1" applyFill="1" applyBorder="1">
      <alignment/>
      <protection/>
    </xf>
    <xf numFmtId="174" fontId="8" fillId="0" borderId="0" xfId="23" applyNumberFormat="1" applyFont="1" applyFill="1" applyBorder="1">
      <alignment/>
      <protection/>
    </xf>
    <xf numFmtId="174" fontId="9" fillId="0" borderId="1" xfId="23" applyNumberFormat="1" applyFont="1" applyFill="1" applyBorder="1" applyAlignment="1">
      <alignment horizontal="center"/>
      <protection/>
    </xf>
    <xf numFmtId="172" fontId="7" fillId="0" borderId="1" xfId="23" applyNumberFormat="1" applyFont="1" applyFill="1" applyBorder="1">
      <alignment/>
      <protection/>
    </xf>
    <xf numFmtId="174" fontId="24" fillId="0" borderId="0" xfId="23" applyNumberFormat="1" applyFont="1" applyFill="1" applyBorder="1" applyAlignment="1">
      <alignment horizontal="left"/>
      <protection/>
    </xf>
    <xf numFmtId="166" fontId="10" fillId="0" borderId="0" xfId="23" applyFont="1" applyFill="1" applyBorder="1">
      <alignment/>
      <protection/>
    </xf>
    <xf numFmtId="174" fontId="9" fillId="0" borderId="3" xfId="23" applyNumberFormat="1" applyFont="1" applyFill="1" applyBorder="1" applyAlignment="1">
      <alignment horizontal="center"/>
      <protection/>
    </xf>
    <xf numFmtId="174" fontId="11" fillId="0" borderId="1" xfId="20" applyNumberFormat="1" applyFont="1" applyFill="1" applyBorder="1" applyAlignment="1">
      <alignment horizontal="center"/>
      <protection/>
    </xf>
    <xf numFmtId="174" fontId="8" fillId="0" borderId="0" xfId="23" applyNumberFormat="1" applyFont="1" applyFill="1" applyBorder="1" applyAlignment="1">
      <alignment horizontal="center"/>
      <protection/>
    </xf>
    <xf numFmtId="166" fontId="7" fillId="0" borderId="1" xfId="23" applyFont="1" applyFill="1" applyBorder="1" applyAlignment="1" applyProtection="1">
      <alignment/>
      <protection/>
    </xf>
    <xf numFmtId="167" fontId="7" fillId="0" borderId="1" xfId="23" applyNumberFormat="1" applyFont="1" applyFill="1" applyBorder="1" applyAlignment="1" applyProtection="1">
      <alignment horizontal="right"/>
      <protection/>
    </xf>
    <xf numFmtId="166" fontId="7" fillId="0" borderId="1" xfId="23" applyFont="1" applyFill="1" applyBorder="1" applyAlignment="1" applyProtection="1">
      <alignment wrapText="1"/>
      <protection/>
    </xf>
    <xf numFmtId="167" fontId="7" fillId="0" borderId="1" xfId="23" applyNumberFormat="1" applyFont="1" applyFill="1" applyBorder="1" applyAlignment="1">
      <alignment/>
      <protection/>
    </xf>
    <xf numFmtId="166" fontId="7" fillId="0" borderId="1" xfId="23" applyFont="1" applyFill="1" applyBorder="1" applyAlignment="1" applyProtection="1">
      <alignment vertical="top" wrapText="1"/>
      <protection/>
    </xf>
    <xf numFmtId="166" fontId="7" fillId="0" borderId="1" xfId="23" applyFont="1" applyFill="1" applyBorder="1" applyAlignment="1" applyProtection="1">
      <alignment horizontal="center" vertical="top"/>
      <protection/>
    </xf>
    <xf numFmtId="167" fontId="7" fillId="0" borderId="1" xfId="23" applyNumberFormat="1" applyFont="1" applyFill="1" applyBorder="1" applyAlignment="1" applyProtection="1">
      <alignment horizontal="right" vertical="top"/>
      <protection/>
    </xf>
    <xf numFmtId="166" fontId="7" fillId="0" borderId="1" xfId="24" applyNumberFormat="1" applyFont="1" applyFill="1" applyBorder="1" applyAlignment="1" applyProtection="1">
      <alignment vertical="top"/>
      <protection/>
    </xf>
    <xf numFmtId="167" fontId="11" fillId="3" borderId="2" xfId="24" applyNumberFormat="1" applyFont="1" applyFill="1" applyBorder="1" applyAlignment="1" applyProtection="1">
      <alignment/>
      <protection/>
    </xf>
    <xf numFmtId="174" fontId="9" fillId="0" borderId="0" xfId="23" applyNumberFormat="1" applyFont="1" applyFill="1" applyBorder="1" applyAlignment="1">
      <alignment horizontal="left"/>
      <protection/>
    </xf>
    <xf numFmtId="172" fontId="10" fillId="0" borderId="0" xfId="23" applyNumberFormat="1" applyFont="1" applyFill="1" applyBorder="1">
      <alignment/>
      <protection/>
    </xf>
    <xf numFmtId="172" fontId="7" fillId="0" borderId="0" xfId="23" applyNumberFormat="1" applyFont="1" applyFill="1" applyBorder="1">
      <alignment/>
      <protection/>
    </xf>
    <xf numFmtId="166" fontId="11" fillId="0" borderId="1" xfId="23" applyFont="1" applyFill="1" applyBorder="1" applyAlignment="1">
      <alignment/>
      <protection/>
    </xf>
    <xf numFmtId="172" fontId="7" fillId="0" borderId="1" xfId="23" applyNumberFormat="1" applyFont="1" applyFill="1" applyBorder="1" applyAlignment="1">
      <alignment wrapText="1"/>
      <protection/>
    </xf>
    <xf numFmtId="174" fontId="9" fillId="0" borderId="1" xfId="23" applyNumberFormat="1" applyFont="1" applyFill="1" applyBorder="1" applyAlignment="1">
      <alignment horizontal="center" wrapText="1"/>
      <protection/>
    </xf>
    <xf numFmtId="174" fontId="11" fillId="0" borderId="0" xfId="23" applyNumberFormat="1" applyFont="1" applyFill="1" applyBorder="1" applyAlignment="1">
      <alignment/>
      <protection/>
    </xf>
    <xf numFmtId="174" fontId="7" fillId="0" borderId="0" xfId="23" applyNumberFormat="1" applyFont="1" applyFill="1" applyBorder="1" applyAlignment="1">
      <alignment wrapText="1"/>
      <protection/>
    </xf>
    <xf numFmtId="172" fontId="9" fillId="0" borderId="1" xfId="23" applyNumberFormat="1" applyFont="1" applyFill="1" applyBorder="1">
      <alignment/>
      <protection/>
    </xf>
    <xf numFmtId="167" fontId="10" fillId="0" borderId="1" xfId="23" applyNumberFormat="1" applyFont="1" applyFill="1" applyBorder="1">
      <alignment/>
      <protection/>
    </xf>
    <xf numFmtId="166" fontId="25" fillId="0" borderId="0" xfId="23" applyFont="1" applyFill="1" applyBorder="1">
      <alignment/>
      <protection/>
    </xf>
    <xf numFmtId="172" fontId="7" fillId="0" borderId="0" xfId="23" applyNumberFormat="1" applyFont="1" applyFill="1" applyBorder="1" applyAlignment="1">
      <alignment wrapText="1"/>
      <protection/>
    </xf>
    <xf numFmtId="172" fontId="10" fillId="0" borderId="0" xfId="23" applyNumberFormat="1" applyFont="1" applyFill="1" applyBorder="1" applyAlignment="1">
      <alignment wrapText="1"/>
      <protection/>
    </xf>
    <xf numFmtId="166" fontId="9" fillId="0" borderId="3" xfId="23" applyFont="1" applyFill="1" applyBorder="1" applyAlignment="1">
      <alignment horizontal="center"/>
      <protection/>
    </xf>
    <xf numFmtId="172" fontId="9" fillId="0" borderId="3" xfId="23" applyNumberFormat="1" applyFont="1" applyFill="1" applyBorder="1">
      <alignment/>
      <protection/>
    </xf>
    <xf numFmtId="167" fontId="9" fillId="0" borderId="3" xfId="23" applyNumberFormat="1" applyFont="1" applyFill="1" applyBorder="1">
      <alignment/>
      <protection/>
    </xf>
    <xf numFmtId="172" fontId="9" fillId="0" borderId="0" xfId="23" applyNumberFormat="1" applyFont="1" applyFill="1" applyBorder="1">
      <alignment/>
      <protection/>
    </xf>
    <xf numFmtId="164" fontId="11" fillId="0" borderId="1" xfId="23" applyNumberFormat="1" applyFont="1" applyBorder="1" applyAlignment="1">
      <alignment horizontal="left"/>
      <protection/>
    </xf>
    <xf numFmtId="164" fontId="7" fillId="0" borderId="1" xfId="23" applyNumberFormat="1" applyFont="1" applyFill="1" applyBorder="1" applyAlignment="1">
      <alignment vertical="center" wrapText="1"/>
      <protection/>
    </xf>
    <xf numFmtId="174" fontId="7" fillId="0" borderId="0" xfId="23" applyNumberFormat="1" applyFont="1" applyFill="1" applyBorder="1" applyAlignment="1">
      <alignment horizontal="center" wrapText="1"/>
      <protection/>
    </xf>
    <xf numFmtId="172" fontId="7" fillId="0" borderId="0" xfId="23" applyNumberFormat="1" applyFont="1" applyFill="1" applyBorder="1" applyAlignment="1">
      <alignment horizontal="left" wrapText="1"/>
      <protection/>
    </xf>
    <xf numFmtId="172" fontId="10" fillId="0" borderId="0" xfId="23" applyNumberFormat="1" applyFont="1" applyFill="1" applyBorder="1" applyAlignment="1">
      <alignment horizontal="left" wrapText="1"/>
      <protection/>
    </xf>
    <xf numFmtId="174" fontId="11" fillId="0" borderId="0" xfId="23" applyNumberFormat="1" applyFont="1" applyFill="1" applyBorder="1" applyAlignment="1">
      <alignment horizontal="left"/>
      <protection/>
    </xf>
    <xf numFmtId="164" fontId="7" fillId="0" borderId="0" xfId="23" applyNumberFormat="1" applyFont="1" applyFill="1" applyBorder="1" applyAlignment="1" applyProtection="1">
      <alignment/>
      <protection/>
    </xf>
    <xf numFmtId="164" fontId="9" fillId="0" borderId="1" xfId="23" applyNumberFormat="1" applyFont="1" applyFill="1" applyBorder="1" applyAlignment="1">
      <alignment horizontal="center"/>
      <protection/>
    </xf>
    <xf numFmtId="164" fontId="9" fillId="0" borderId="1" xfId="23" applyNumberFormat="1" applyFont="1" applyFill="1" applyBorder="1" applyAlignment="1" applyProtection="1">
      <alignment wrapText="1"/>
      <protection/>
    </xf>
    <xf numFmtId="174" fontId="10" fillId="0" borderId="0" xfId="23" applyNumberFormat="1" applyFont="1" applyFill="1" applyBorder="1">
      <alignment/>
      <protection/>
    </xf>
    <xf numFmtId="164" fontId="2" fillId="0" borderId="1" xfId="23" applyNumberFormat="1" applyFill="1" applyBorder="1" applyAlignment="1">
      <alignment horizontal="center"/>
      <protection/>
    </xf>
    <xf numFmtId="166" fontId="20" fillId="0" borderId="7" xfId="23" applyFont="1" applyFill="1" applyBorder="1">
      <alignment/>
      <protection/>
    </xf>
    <xf numFmtId="166" fontId="20" fillId="4" borderId="10" xfId="23" applyFont="1" applyFill="1" applyBorder="1" applyAlignment="1">
      <alignment horizontal="center"/>
      <protection/>
    </xf>
    <xf numFmtId="166" fontId="20" fillId="0" borderId="0" xfId="23" applyFont="1" applyBorder="1" applyAlignment="1">
      <alignment wrapText="1"/>
      <protection/>
    </xf>
    <xf numFmtId="166" fontId="26" fillId="2" borderId="1" xfId="23" applyFont="1" applyFill="1" applyBorder="1" applyAlignment="1">
      <alignment horizontal="left"/>
      <protection/>
    </xf>
    <xf numFmtId="167" fontId="5" fillId="2" borderId="1" xfId="23" applyNumberFormat="1" applyFont="1" applyFill="1" applyBorder="1">
      <alignment/>
      <protection/>
    </xf>
    <xf numFmtId="166" fontId="27" fillId="0" borderId="0" xfId="23" applyFont="1" applyBorder="1">
      <alignment/>
      <protection/>
    </xf>
    <xf numFmtId="167" fontId="3" fillId="3" borderId="1" xfId="23" applyNumberFormat="1" applyFont="1" applyFill="1" applyBorder="1" applyAlignment="1">
      <alignment/>
      <protection/>
    </xf>
    <xf numFmtId="164" fontId="12" fillId="0" borderId="0" xfId="23" applyNumberFormat="1" applyFont="1" applyFill="1">
      <alignment/>
      <protection/>
    </xf>
    <xf numFmtId="172" fontId="7" fillId="0" borderId="2" xfId="23" applyNumberFormat="1" applyFont="1" applyFill="1" applyBorder="1" applyAlignment="1">
      <alignment horizontal="left" wrapText="1"/>
      <protection/>
    </xf>
    <xf numFmtId="167" fontId="7" fillId="0" borderId="11" xfId="23" applyNumberFormat="1" applyFont="1" applyFill="1" applyBorder="1" applyAlignment="1">
      <alignment horizontal="right"/>
      <protection/>
    </xf>
    <xf numFmtId="171" fontId="7" fillId="0" borderId="1" xfId="15" applyFont="1" applyFill="1" applyBorder="1" applyAlignment="1" applyProtection="1">
      <alignment horizontal="left"/>
      <protection/>
    </xf>
    <xf numFmtId="171" fontId="7" fillId="0" borderId="4" xfId="15" applyFont="1" applyFill="1" applyBorder="1" applyAlignment="1" applyProtection="1">
      <alignment horizontal="left"/>
      <protection/>
    </xf>
    <xf numFmtId="167" fontId="7" fillId="0" borderId="4" xfId="23" applyNumberFormat="1" applyFont="1" applyFill="1" applyBorder="1" applyAlignment="1">
      <alignment horizontal="right"/>
      <protection/>
    </xf>
    <xf numFmtId="167" fontId="3" fillId="3" borderId="4" xfId="23" applyNumberFormat="1" applyFont="1" applyFill="1" applyBorder="1" applyAlignment="1">
      <alignment/>
      <protection/>
    </xf>
    <xf numFmtId="164" fontId="9" fillId="0" borderId="1" xfId="23" applyNumberFormat="1" applyFont="1" applyFill="1" applyBorder="1" applyAlignment="1">
      <alignment horizontal="center" vertical="center"/>
      <protection/>
    </xf>
    <xf numFmtId="174" fontId="7" fillId="0" borderId="0" xfId="23" applyNumberFormat="1" applyFont="1" applyFill="1" applyBorder="1" applyAlignment="1">
      <alignment horizontal="center"/>
      <protection/>
    </xf>
    <xf numFmtId="166" fontId="9" fillId="0" borderId="0" xfId="23" applyFont="1" applyFill="1" applyBorder="1" applyAlignment="1">
      <alignment wrapText="1"/>
      <protection/>
    </xf>
    <xf numFmtId="172" fontId="9" fillId="0" borderId="1" xfId="23" applyNumberFormat="1" applyFont="1" applyFill="1" applyBorder="1" applyAlignment="1">
      <alignment wrapText="1"/>
      <protection/>
    </xf>
    <xf numFmtId="172" fontId="9" fillId="0" borderId="1" xfId="23" applyNumberFormat="1" applyFont="1" applyFill="1" applyBorder="1" applyAlignment="1">
      <alignment horizontal="center" vertical="center" wrapText="1"/>
      <protection/>
    </xf>
    <xf numFmtId="172" fontId="7" fillId="0" borderId="1" xfId="23" applyNumberFormat="1" applyFont="1" applyFill="1" applyBorder="1" applyAlignment="1">
      <alignment horizontal="center" vertical="center" wrapText="1"/>
      <protection/>
    </xf>
    <xf numFmtId="166" fontId="8" fillId="0" borderId="0" xfId="23" applyFont="1" applyFill="1" applyBorder="1">
      <alignment/>
      <protection/>
    </xf>
    <xf numFmtId="172" fontId="7" fillId="0" borderId="0" xfId="23" applyNumberFormat="1" applyFont="1" applyFill="1" applyBorder="1" applyAlignment="1" applyProtection="1">
      <alignment/>
      <protection/>
    </xf>
    <xf numFmtId="164" fontId="9" fillId="0" borderId="0" xfId="23" applyNumberFormat="1" applyFont="1" applyFill="1" applyBorder="1" applyAlignment="1">
      <alignment horizontal="center"/>
      <protection/>
    </xf>
    <xf numFmtId="172" fontId="7" fillId="0" borderId="1" xfId="23" applyNumberFormat="1" applyFont="1" applyFill="1" applyBorder="1" applyAlignment="1" applyProtection="1">
      <alignment wrapText="1"/>
      <protection/>
    </xf>
    <xf numFmtId="174" fontId="9" fillId="0" borderId="0" xfId="23" applyNumberFormat="1" applyFont="1" applyFill="1" applyBorder="1" applyAlignment="1">
      <alignment horizontal="center"/>
      <protection/>
    </xf>
    <xf numFmtId="174" fontId="11" fillId="0" borderId="0" xfId="20" applyNumberFormat="1" applyFont="1" applyFill="1" applyBorder="1" applyAlignment="1">
      <alignment horizontal="center"/>
      <protection/>
    </xf>
    <xf numFmtId="174" fontId="7" fillId="0" borderId="1" xfId="20" applyNumberFormat="1" applyFont="1" applyFill="1" applyBorder="1" applyAlignment="1">
      <alignment/>
      <protection/>
    </xf>
    <xf numFmtId="172" fontId="7" fillId="0" borderId="1" xfId="23" applyNumberFormat="1" applyFont="1" applyFill="1" applyBorder="1" applyAlignment="1" applyProtection="1">
      <alignment horizontal="center"/>
      <protection/>
    </xf>
    <xf numFmtId="167" fontId="9" fillId="0" borderId="1" xfId="23" applyNumberFormat="1" applyFont="1" applyFill="1" applyBorder="1" applyAlignment="1">
      <alignment/>
      <protection/>
    </xf>
    <xf numFmtId="172" fontId="7" fillId="0" borderId="1" xfId="23" applyNumberFormat="1" applyFont="1" applyFill="1" applyBorder="1" applyAlignment="1">
      <alignment horizontal="center"/>
      <protection/>
    </xf>
    <xf numFmtId="167" fontId="3" fillId="3" borderId="1" xfId="24" applyNumberFormat="1" applyFont="1" applyFill="1" applyBorder="1" applyAlignment="1" applyProtection="1">
      <alignment/>
      <protection/>
    </xf>
    <xf numFmtId="166" fontId="8" fillId="0" borderId="0" xfId="23" applyFont="1" applyFill="1" applyBorder="1" applyAlignment="1">
      <alignment/>
      <protection/>
    </xf>
    <xf numFmtId="172" fontId="9" fillId="0" borderId="0" xfId="23" applyNumberFormat="1" applyFont="1" applyFill="1" applyBorder="1" applyAlignment="1">
      <alignment wrapText="1"/>
      <protection/>
    </xf>
    <xf numFmtId="174" fontId="9" fillId="0" borderId="0" xfId="23" applyNumberFormat="1" applyFont="1" applyFill="1" applyBorder="1" applyAlignment="1">
      <alignment horizontal="center" wrapText="1"/>
      <protection/>
    </xf>
    <xf numFmtId="166" fontId="9" fillId="0" borderId="0" xfId="23" applyFont="1" applyFill="1" applyBorder="1" applyAlignment="1">
      <alignment horizontal="center"/>
      <protection/>
    </xf>
    <xf numFmtId="172" fontId="9" fillId="0" borderId="3" xfId="23" applyNumberFormat="1" applyFont="1" applyFill="1" applyBorder="1" applyAlignment="1">
      <alignment wrapText="1"/>
      <protection/>
    </xf>
    <xf numFmtId="166" fontId="7" fillId="0" borderId="1" xfId="23" applyNumberFormat="1" applyFont="1" applyFill="1" applyBorder="1" applyAlignment="1">
      <alignment wrapText="1"/>
      <protection/>
    </xf>
    <xf numFmtId="164" fontId="7" fillId="0" borderId="1" xfId="23" applyNumberFormat="1" applyFont="1" applyFill="1" applyBorder="1" applyAlignment="1" applyProtection="1">
      <alignment vertical="center" wrapText="1"/>
      <protection/>
    </xf>
    <xf numFmtId="164" fontId="7" fillId="0" borderId="0" xfId="23" applyNumberFormat="1" applyFont="1" applyFill="1" applyBorder="1" applyAlignment="1" applyProtection="1">
      <alignment wrapText="1"/>
      <protection/>
    </xf>
    <xf numFmtId="166" fontId="7" fillId="0" borderId="1" xfId="23" applyFont="1" applyFill="1" applyBorder="1" applyAlignment="1">
      <alignment vertical="center" wrapText="1"/>
      <protection/>
    </xf>
    <xf numFmtId="164" fontId="7" fillId="0" borderId="1" xfId="23" applyNumberFormat="1" applyFont="1" applyBorder="1" applyAlignment="1">
      <alignment wrapText="1"/>
      <protection/>
    </xf>
    <xf numFmtId="166" fontId="7" fillId="0" borderId="0" xfId="23" applyFont="1" applyFill="1">
      <alignment/>
      <protection/>
    </xf>
    <xf numFmtId="166" fontId="11" fillId="0" borderId="0" xfId="23" applyFont="1" applyFill="1" applyBorder="1" applyAlignment="1">
      <alignment/>
      <protection/>
    </xf>
    <xf numFmtId="166" fontId="24" fillId="0" borderId="1" xfId="23" applyFont="1" applyFill="1" applyBorder="1">
      <alignment/>
      <protection/>
    </xf>
    <xf numFmtId="166" fontId="28" fillId="0" borderId="0" xfId="23" applyFont="1" applyFill="1" applyBorder="1">
      <alignment/>
      <protection/>
    </xf>
    <xf numFmtId="166" fontId="28" fillId="0" borderId="0" xfId="23" applyFont="1" applyFill="1">
      <alignment/>
      <protection/>
    </xf>
    <xf numFmtId="166" fontId="7" fillId="0" borderId="1" xfId="23" applyNumberFormat="1" applyFont="1" applyFill="1" applyBorder="1">
      <alignment/>
      <protection/>
    </xf>
    <xf numFmtId="167" fontId="7" fillId="5" borderId="1" xfId="23" applyNumberFormat="1" applyFont="1" applyFill="1" applyBorder="1">
      <alignment/>
      <protection/>
    </xf>
    <xf numFmtId="164" fontId="7" fillId="5" borderId="1" xfId="23" applyNumberFormat="1" applyFont="1" applyFill="1" applyBorder="1" applyAlignment="1">
      <alignment horizontal="center"/>
      <protection/>
    </xf>
    <xf numFmtId="166" fontId="7" fillId="5" borderId="1" xfId="23" applyFont="1" applyFill="1" applyBorder="1" applyAlignment="1">
      <alignment wrapText="1"/>
      <protection/>
    </xf>
    <xf numFmtId="166" fontId="7" fillId="5" borderId="1" xfId="23" applyFont="1" applyFill="1" applyBorder="1" applyAlignment="1">
      <alignment horizontal="center" vertical="center"/>
      <protection/>
    </xf>
    <xf numFmtId="167" fontId="7" fillId="5" borderId="3" xfId="23" applyNumberFormat="1" applyFont="1" applyFill="1" applyBorder="1">
      <alignment/>
      <protection/>
    </xf>
    <xf numFmtId="166" fontId="7" fillId="5" borderId="0" xfId="23" applyFont="1" applyFill="1">
      <alignment/>
      <protection/>
    </xf>
    <xf numFmtId="164" fontId="7" fillId="5" borderId="1" xfId="23" applyNumberFormat="1" applyFont="1" applyFill="1" applyBorder="1" applyAlignment="1" applyProtection="1">
      <alignment wrapText="1"/>
      <protection/>
    </xf>
    <xf numFmtId="164" fontId="2" fillId="5" borderId="1" xfId="23" applyNumberFormat="1" applyFill="1" applyBorder="1" applyAlignment="1">
      <alignment horizontal="center"/>
      <protection/>
    </xf>
    <xf numFmtId="164" fontId="7" fillId="5" borderId="1" xfId="23" applyNumberFormat="1" applyFont="1" applyFill="1" applyBorder="1">
      <alignment/>
      <protection/>
    </xf>
    <xf numFmtId="167" fontId="9" fillId="0" borderId="11" xfId="23" applyNumberFormat="1" applyFont="1" applyFill="1" applyBorder="1" applyAlignment="1">
      <alignment horizontal="right"/>
      <protection/>
    </xf>
    <xf numFmtId="166" fontId="8" fillId="0" borderId="1" xfId="23" applyFont="1" applyFill="1" applyBorder="1" applyAlignment="1">
      <alignment horizontal="center" vertical="center" wrapText="1"/>
      <protection/>
    </xf>
    <xf numFmtId="164" fontId="7" fillId="0" borderId="3" xfId="23" applyNumberFormat="1" applyFont="1" applyFill="1" applyBorder="1" applyAlignment="1" applyProtection="1">
      <alignment wrapText="1"/>
      <protection/>
    </xf>
    <xf numFmtId="172" fontId="7" fillId="0" borderId="1" xfId="23" applyNumberFormat="1" applyFont="1" applyFill="1" applyBorder="1" applyAlignment="1" applyProtection="1">
      <alignment vertical="top" wrapText="1"/>
      <protection/>
    </xf>
    <xf numFmtId="172" fontId="7" fillId="0" borderId="1" xfId="23" applyNumberFormat="1" applyFont="1" applyFill="1" applyBorder="1" applyAlignment="1" applyProtection="1">
      <alignment horizontal="center" vertical="top"/>
      <protection/>
    </xf>
    <xf numFmtId="172" fontId="7" fillId="0" borderId="1" xfId="24" applyNumberFormat="1" applyFont="1" applyFill="1" applyBorder="1" applyAlignment="1" applyProtection="1">
      <alignment vertical="top"/>
      <protection/>
    </xf>
    <xf numFmtId="168" fontId="9" fillId="0" borderId="1" xfId="23" applyNumberFormat="1" applyFont="1" applyFill="1" applyBorder="1" applyAlignment="1">
      <alignment wrapText="1"/>
      <protection/>
    </xf>
    <xf numFmtId="172" fontId="7" fillId="0" borderId="2" xfId="23" applyNumberFormat="1" applyFont="1" applyFill="1" applyBorder="1" applyAlignment="1">
      <alignment horizontal="left"/>
      <protection/>
    </xf>
    <xf numFmtId="164" fontId="11" fillId="0" borderId="1" xfId="23" applyNumberFormat="1" applyFont="1" applyFill="1" applyBorder="1" applyAlignment="1">
      <alignment/>
      <protection/>
    </xf>
    <xf numFmtId="167" fontId="11" fillId="0" borderId="4" xfId="23" applyNumberFormat="1" applyFont="1" applyFill="1" applyBorder="1" applyAlignment="1">
      <alignment horizontal="right"/>
      <protection/>
    </xf>
    <xf numFmtId="166" fontId="11" fillId="3" borderId="1" xfId="24" applyNumberFormat="1" applyFont="1" applyFill="1" applyBorder="1" applyAlignment="1" applyProtection="1">
      <alignment/>
      <protection/>
    </xf>
    <xf numFmtId="166" fontId="11" fillId="0" borderId="0" xfId="23" applyFont="1" applyFill="1" applyBorder="1">
      <alignment/>
      <protection/>
    </xf>
    <xf numFmtId="172" fontId="7" fillId="0" borderId="1" xfId="23" applyNumberFormat="1" applyFont="1" applyBorder="1">
      <alignment/>
      <protection/>
    </xf>
    <xf numFmtId="172" fontId="7" fillId="0" borderId="1" xfId="23" applyNumberFormat="1" applyFont="1" applyBorder="1" applyAlignment="1">
      <alignment horizontal="center" vertical="center"/>
      <protection/>
    </xf>
    <xf numFmtId="164" fontId="8" fillId="0" borderId="1" xfId="23" applyNumberFormat="1" applyFont="1" applyFill="1" applyBorder="1" applyAlignment="1">
      <alignment vertical="center"/>
      <protection/>
    </xf>
    <xf numFmtId="172" fontId="9" fillId="0" borderId="1" xfId="23" applyNumberFormat="1" applyFont="1" applyBorder="1">
      <alignment/>
      <protection/>
    </xf>
    <xf numFmtId="172" fontId="9" fillId="0" borderId="1" xfId="23" applyNumberFormat="1" applyFont="1" applyBorder="1" applyAlignment="1">
      <alignment horizontal="center" vertical="center"/>
      <protection/>
    </xf>
    <xf numFmtId="167" fontId="9" fillId="4" borderId="1" xfId="23" applyNumberFormat="1" applyFont="1" applyFill="1" applyBorder="1">
      <alignment/>
      <protection/>
    </xf>
    <xf numFmtId="167" fontId="9" fillId="0" borderId="1" xfId="23" applyNumberFormat="1" applyFont="1" applyBorder="1">
      <alignment/>
      <protection/>
    </xf>
    <xf numFmtId="166" fontId="9" fillId="0" borderId="4" xfId="23" applyFont="1" applyFill="1" applyBorder="1" applyAlignment="1">
      <alignment horizontal="center"/>
      <protection/>
    </xf>
    <xf numFmtId="164" fontId="9" fillId="0" borderId="1" xfId="23" applyNumberFormat="1" applyFont="1" applyFill="1" applyBorder="1">
      <alignment/>
      <protection/>
    </xf>
    <xf numFmtId="172" fontId="15" fillId="0" borderId="1" xfId="23" applyNumberFormat="1" applyFont="1" applyFill="1" applyBorder="1" applyAlignment="1" applyProtection="1">
      <alignment vertical="top" wrapText="1"/>
      <protection/>
    </xf>
    <xf numFmtId="172" fontId="15" fillId="0" borderId="1" xfId="23" applyNumberFormat="1" applyFont="1" applyFill="1" applyBorder="1" applyAlignment="1">
      <alignment wrapText="1"/>
      <protection/>
    </xf>
    <xf numFmtId="164" fontId="7" fillId="4" borderId="1" xfId="23" applyNumberFormat="1" applyFont="1" applyFill="1" applyBorder="1" applyAlignment="1">
      <alignment vertical="center" wrapText="1"/>
      <protection/>
    </xf>
    <xf numFmtId="164" fontId="7" fillId="0" borderId="2" xfId="23" applyNumberFormat="1" applyFont="1" applyFill="1" applyBorder="1" applyAlignment="1">
      <alignment horizontal="center"/>
      <protection/>
    </xf>
    <xf numFmtId="166" fontId="7" fillId="0" borderId="2" xfId="23" applyFont="1" applyFill="1" applyBorder="1" applyAlignment="1">
      <alignment wrapText="1"/>
      <protection/>
    </xf>
    <xf numFmtId="164" fontId="7" fillId="0" borderId="3" xfId="23" applyNumberFormat="1" applyFont="1" applyFill="1" applyBorder="1" applyAlignment="1">
      <alignment horizontal="center"/>
      <protection/>
    </xf>
    <xf numFmtId="166" fontId="7" fillId="0" borderId="3" xfId="23" applyFont="1" applyFill="1" applyBorder="1" applyAlignment="1">
      <alignment horizontal="center" vertical="center"/>
      <protection/>
    </xf>
    <xf numFmtId="164" fontId="11" fillId="0" borderId="2" xfId="23" applyNumberFormat="1" applyFont="1" applyBorder="1">
      <alignment/>
      <protection/>
    </xf>
    <xf numFmtId="164" fontId="8" fillId="0" borderId="1" xfId="23" applyNumberFormat="1" applyFont="1" applyBorder="1">
      <alignment/>
      <protection/>
    </xf>
    <xf numFmtId="164" fontId="8" fillId="0" borderId="4" xfId="23" applyNumberFormat="1" applyFont="1" applyBorder="1" applyAlignment="1">
      <alignment horizontal="left"/>
      <protection/>
    </xf>
    <xf numFmtId="164" fontId="12" fillId="0" borderId="0" xfId="23" applyNumberFormat="1" applyFont="1">
      <alignment/>
      <protection/>
    </xf>
    <xf numFmtId="164" fontId="7" fillId="4" borderId="1" xfId="23" applyNumberFormat="1" applyFont="1" applyFill="1" applyBorder="1" applyAlignment="1">
      <alignment horizontal="center" vertical="center"/>
      <protection/>
    </xf>
    <xf numFmtId="167" fontId="7" fillId="4" borderId="1" xfId="23" applyNumberFormat="1" applyFont="1" applyFill="1" applyBorder="1" applyAlignment="1">
      <alignment vertical="center"/>
      <protection/>
    </xf>
    <xf numFmtId="166" fontId="7" fillId="0" borderId="1" xfId="23" applyNumberFormat="1" applyFont="1" applyBorder="1">
      <alignment/>
      <protection/>
    </xf>
    <xf numFmtId="164" fontId="7" fillId="0" borderId="1" xfId="23" applyNumberFormat="1" applyFont="1" applyBorder="1" applyAlignment="1">
      <alignment horizontal="center" wrapText="1"/>
      <protection/>
    </xf>
    <xf numFmtId="168" fontId="7" fillId="0" borderId="1" xfId="23" applyNumberFormat="1" applyFont="1" applyFill="1" applyBorder="1" applyAlignment="1">
      <alignment horizontal="left" wrapText="1"/>
      <protection/>
    </xf>
    <xf numFmtId="167" fontId="7" fillId="0" borderId="1" xfId="23" applyNumberFormat="1" applyFont="1" applyFill="1" applyBorder="1" applyAlignment="1">
      <alignment horizontal="center"/>
      <protection/>
    </xf>
    <xf numFmtId="172" fontId="7" fillId="0" borderId="1" xfId="23" applyNumberFormat="1" applyFont="1" applyFill="1" applyBorder="1" applyAlignment="1">
      <alignment horizontal="left" wrapText="1"/>
      <protection/>
    </xf>
    <xf numFmtId="175" fontId="29" fillId="0" borderId="0" xfId="22" applyNumberFormat="1" applyFont="1" applyAlignment="1">
      <alignment horizontal="left" vertical="center" wrapText="1"/>
      <protection/>
    </xf>
    <xf numFmtId="168" fontId="29" fillId="0" borderId="0" xfId="22" applyNumberFormat="1" applyFont="1" applyAlignment="1">
      <alignment vertical="center" wrapText="1"/>
      <protection/>
    </xf>
    <xf numFmtId="164" fontId="29" fillId="0" borderId="0" xfId="22" applyFont="1" applyAlignment="1">
      <alignment horizontal="center" vertical="center" wrapText="1"/>
      <protection/>
    </xf>
    <xf numFmtId="164" fontId="29" fillId="0" borderId="0" xfId="22" applyFont="1" applyAlignment="1">
      <alignment vertical="center" wrapText="1"/>
      <protection/>
    </xf>
    <xf numFmtId="164" fontId="30" fillId="0" borderId="0" xfId="23" applyNumberFormat="1" applyFont="1" applyBorder="1" applyAlignment="1">
      <alignment horizontal="center" vertical="center"/>
      <protection/>
    </xf>
    <xf numFmtId="164" fontId="26" fillId="0" borderId="0" xfId="21" applyFont="1" applyAlignment="1" applyProtection="1">
      <alignment horizontal="center" vertical="center" wrapText="1"/>
      <protection/>
    </xf>
    <xf numFmtId="164" fontId="26" fillId="0" borderId="0" xfId="23" applyNumberFormat="1" applyFont="1" applyBorder="1" applyAlignment="1">
      <alignment horizontal="left" vertical="center"/>
      <protection/>
    </xf>
    <xf numFmtId="164" fontId="31" fillId="0" borderId="0" xfId="23" applyNumberFormat="1" applyFont="1" applyBorder="1" applyAlignment="1">
      <alignment horizontal="left" vertical="center"/>
      <protection/>
    </xf>
    <xf numFmtId="164" fontId="26" fillId="0" borderId="0" xfId="23" applyNumberFormat="1" applyFont="1" applyBorder="1" applyAlignment="1" applyProtection="1">
      <alignment horizontal="left"/>
      <protection/>
    </xf>
    <xf numFmtId="164" fontId="29" fillId="0" borderId="0" xfId="23" applyNumberFormat="1" applyFont="1" applyBorder="1" applyAlignment="1">
      <alignment horizontal="left" vertical="center"/>
      <protection/>
    </xf>
    <xf numFmtId="175" fontId="32" fillId="2" borderId="1" xfId="22" applyNumberFormat="1" applyFont="1" applyFill="1" applyBorder="1" applyAlignment="1">
      <alignment horizontal="center" vertical="center" wrapText="1"/>
      <protection/>
    </xf>
    <xf numFmtId="168" fontId="32" fillId="2" borderId="1" xfId="22" applyNumberFormat="1" applyFont="1" applyFill="1" applyBorder="1" applyAlignment="1">
      <alignment horizontal="center" vertical="center" wrapText="1"/>
      <protection/>
    </xf>
    <xf numFmtId="164" fontId="32" fillId="2" borderId="4" xfId="22" applyFont="1" applyFill="1" applyBorder="1" applyAlignment="1">
      <alignment horizontal="center" vertical="center" wrapText="1"/>
      <protection/>
    </xf>
    <xf numFmtId="164" fontId="32" fillId="2" borderId="1" xfId="22" applyFont="1" applyFill="1" applyBorder="1" applyAlignment="1">
      <alignment horizontal="center" vertical="center" wrapText="1"/>
      <protection/>
    </xf>
    <xf numFmtId="164" fontId="26" fillId="0" borderId="0" xfId="22" applyFont="1" applyAlignment="1">
      <alignment horizontal="center" vertical="center" wrapText="1"/>
      <protection/>
    </xf>
    <xf numFmtId="164" fontId="0" fillId="2" borderId="2" xfId="22" applyFont="1" applyFill="1" applyBorder="1" applyAlignment="1">
      <alignment horizontal="center" vertical="center" wrapText="1"/>
      <protection/>
    </xf>
    <xf numFmtId="165" fontId="32" fillId="0" borderId="1" xfId="22" applyNumberFormat="1" applyFont="1" applyFill="1" applyBorder="1" applyAlignment="1">
      <alignment horizontal="center" vertical="center" wrapText="1"/>
      <protection/>
    </xf>
    <xf numFmtId="168" fontId="32" fillId="0" borderId="4" xfId="22" applyNumberFormat="1" applyFont="1" applyFill="1" applyBorder="1" applyAlignment="1">
      <alignment horizontal="left" vertical="center" wrapText="1"/>
      <protection/>
    </xf>
    <xf numFmtId="170" fontId="32" fillId="6" borderId="2" xfId="19" applyNumberFormat="1" applyFont="1" applyFill="1" applyBorder="1" applyAlignment="1" applyProtection="1">
      <alignment horizontal="center" wrapText="1"/>
      <protection/>
    </xf>
    <xf numFmtId="170" fontId="32" fillId="4" borderId="2" xfId="19" applyNumberFormat="1" applyFont="1" applyFill="1" applyBorder="1" applyAlignment="1" applyProtection="1">
      <alignment horizontal="center" wrapText="1"/>
      <protection/>
    </xf>
    <xf numFmtId="170" fontId="32" fillId="3" borderId="2" xfId="19" applyNumberFormat="1" applyFont="1" applyFill="1" applyBorder="1" applyAlignment="1" applyProtection="1">
      <alignment horizontal="center" vertical="center" wrapText="1"/>
      <protection/>
    </xf>
    <xf numFmtId="164" fontId="29" fillId="0" borderId="0" xfId="22" applyFont="1" applyAlignment="1">
      <alignment wrapText="1"/>
      <protection/>
    </xf>
    <xf numFmtId="176" fontId="0" fillId="6" borderId="3" xfId="22" applyNumberFormat="1" applyFont="1" applyFill="1" applyBorder="1" applyAlignment="1">
      <alignment horizontal="center" vertical="top" wrapText="1"/>
      <protection/>
    </xf>
    <xf numFmtId="176" fontId="0" fillId="4" borderId="3" xfId="22" applyNumberFormat="1" applyFont="1" applyFill="1" applyBorder="1" applyAlignment="1">
      <alignment horizontal="center" vertical="top" wrapText="1"/>
      <protection/>
    </xf>
    <xf numFmtId="177" fontId="32" fillId="3" borderId="3" xfId="19" applyNumberFormat="1" applyFont="1" applyFill="1" applyBorder="1" applyAlignment="1" applyProtection="1">
      <alignment vertical="center" wrapText="1"/>
      <protection/>
    </xf>
    <xf numFmtId="170" fontId="29" fillId="0" borderId="0" xfId="19" applyNumberFormat="1" applyFont="1" applyFill="1" applyBorder="1" applyAlignment="1" applyProtection="1">
      <alignment vertical="top" wrapText="1"/>
      <protection/>
    </xf>
    <xf numFmtId="164" fontId="29" fillId="0" borderId="0" xfId="22" applyFont="1" applyAlignment="1">
      <alignment vertical="top" wrapText="1"/>
      <protection/>
    </xf>
    <xf numFmtId="164" fontId="32" fillId="0" borderId="4" xfId="22" applyFont="1" applyBorder="1" applyAlignment="1">
      <alignment horizontal="left" vertical="center" wrapText="1"/>
      <protection/>
    </xf>
    <xf numFmtId="177" fontId="32" fillId="3" borderId="11" xfId="19" applyNumberFormat="1" applyFont="1" applyFill="1" applyBorder="1" applyAlignment="1" applyProtection="1">
      <alignment vertical="center" wrapText="1"/>
      <protection/>
    </xf>
    <xf numFmtId="168" fontId="32" fillId="2" borderId="4" xfId="22" applyNumberFormat="1" applyFont="1" applyFill="1" applyBorder="1" applyAlignment="1">
      <alignment horizontal="center" vertical="center" wrapText="1"/>
      <protection/>
    </xf>
    <xf numFmtId="170" fontId="0" fillId="2" borderId="2" xfId="19" applyNumberFormat="1" applyFont="1" applyFill="1" applyBorder="1" applyAlignment="1" applyProtection="1">
      <alignment horizontal="center" wrapText="1"/>
      <protection/>
    </xf>
    <xf numFmtId="170" fontId="32" fillId="2" borderId="2" xfId="19" applyNumberFormat="1" applyFont="1" applyFill="1" applyBorder="1" applyAlignment="1" applyProtection="1">
      <alignment horizontal="center" vertical="center" wrapText="1"/>
      <protection/>
    </xf>
    <xf numFmtId="176" fontId="32" fillId="2" borderId="3" xfId="22" applyNumberFormat="1" applyFont="1" applyFill="1" applyBorder="1" applyAlignment="1">
      <alignment horizontal="center" vertical="top" wrapText="1"/>
      <protection/>
    </xf>
    <xf numFmtId="178" fontId="0" fillId="2" borderId="3" xfId="23" applyNumberFormat="1" applyFont="1" applyFill="1" applyBorder="1" applyAlignment="1">
      <alignment vertical="center" wrapText="1"/>
      <protection/>
    </xf>
    <xf numFmtId="170" fontId="29" fillId="0" borderId="0" xfId="22" applyNumberFormat="1" applyFont="1" applyAlignment="1">
      <alignment vertical="center" wrapText="1"/>
      <protection/>
    </xf>
    <xf numFmtId="175" fontId="29" fillId="0" borderId="0" xfId="22" applyNumberFormat="1" applyFont="1" applyAlignment="1">
      <alignment horizontal="center" vertical="center" wrapText="1"/>
      <protection/>
    </xf>
    <xf numFmtId="170" fontId="29" fillId="0" borderId="0" xfId="22" applyNumberFormat="1" applyFont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Calculos" xfId="21"/>
    <cellStyle name="Normal_USP - Calculos" xfId="22"/>
    <cellStyle name="Excel Built-in Normal" xfId="23"/>
    <cellStyle name="Excel Built-in Comma 1" xfId="24"/>
  </cellStyles>
  <dxfs count="1">
    <dxf>
      <font>
        <b val="0"/>
        <i val="0"/>
        <u val="none"/>
        <strike val="0"/>
        <sz val="11"/>
        <color rgb="FF000000"/>
      </font>
      <fill>
        <patternFill patternType="solid">
          <fgColor rgb="FFFFFFCC"/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CURVA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val>
            <c:numRef>
              <c:f>Cronograma!$C$46:$K$46</c:f>
              <c:numCache/>
            </c:numRef>
          </c:val>
          <c:smooth val="0"/>
        </c:ser>
        <c:marker val="1"/>
        <c:axId val="54896013"/>
        <c:axId val="24302070"/>
      </c:lineChart>
      <c:dateAx>
        <c:axId val="54896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02070"/>
        <c:crossesAt val="0"/>
        <c:auto val="0"/>
        <c:noMultiLvlLbl val="0"/>
      </c:dateAx>
      <c:valAx>
        <c:axId val="24302070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96013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1114425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2286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1123950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2295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1123950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2295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1009650</xdr:colOff>
      <xdr:row>0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59067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142875</xdr:rowOff>
    </xdr:from>
    <xdr:to>
      <xdr:col>1</xdr:col>
      <xdr:colOff>2752725</xdr:colOff>
      <xdr:row>3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42875"/>
          <a:ext cx="31527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3209925</xdr:colOff>
      <xdr:row>38</xdr:row>
      <xdr:rowOff>57150</xdr:rowOff>
    </xdr:from>
    <xdr:to>
      <xdr:col>11</xdr:col>
      <xdr:colOff>47625</xdr:colOff>
      <xdr:row>59</xdr:row>
      <xdr:rowOff>76200</xdr:rowOff>
    </xdr:to>
    <xdr:graphicFrame>
      <xdr:nvGraphicFramePr>
        <xdr:cNvPr id="3" name="Chart 3"/>
        <xdr:cNvGraphicFramePr/>
      </xdr:nvGraphicFramePr>
      <xdr:xfrm>
        <a:off x="3914775" y="8172450"/>
        <a:ext cx="1262062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1019175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22955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914400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2333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1047750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23145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1123950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2295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1123950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2295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1123950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2295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1123950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2295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2</xdr:col>
      <xdr:colOff>1123950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22955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0"/>
  <sheetViews>
    <sheetView tabSelected="1" zoomScale="90" zoomScaleNormal="9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6.28125" style="1" customWidth="1"/>
    <col min="2" max="2" width="12.421875" style="1" customWidth="1"/>
    <col min="3" max="3" width="70.28125" style="2" customWidth="1"/>
    <col min="4" max="4" width="10.140625" style="3" customWidth="1"/>
    <col min="5" max="5" width="11.8515625" style="4" customWidth="1"/>
    <col min="6" max="6" width="13.28125" style="2" customWidth="1"/>
    <col min="7" max="7" width="18.28125" style="2" customWidth="1"/>
    <col min="8" max="8" width="15.57421875" style="2" customWidth="1"/>
    <col min="9" max="11" width="14.421875" style="2" customWidth="1"/>
    <col min="12" max="12" width="10.421875" style="2" customWidth="1"/>
    <col min="13" max="13" width="9.421875" style="2" customWidth="1"/>
    <col min="14" max="14" width="13.8515625" style="2" customWidth="1"/>
    <col min="15" max="18" width="9.421875" style="2" customWidth="1"/>
    <col min="19" max="19" width="14.140625" style="2" customWidth="1"/>
    <col min="20" max="16384" width="9.421875" style="2" customWidth="1"/>
  </cols>
  <sheetData>
    <row r="1" spans="1:11" s="6" customFormat="1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4:8" ht="14.25">
      <c r="D2" s="7"/>
      <c r="E2" s="8"/>
      <c r="F2" s="3"/>
      <c r="G2" s="3"/>
      <c r="H2" s="3"/>
    </row>
    <row r="3" spans="4:11" ht="18">
      <c r="D3" s="9" t="s">
        <v>1</v>
      </c>
      <c r="E3" s="10"/>
      <c r="F3" s="10"/>
      <c r="G3" s="10"/>
      <c r="H3" s="11"/>
      <c r="J3" s="12"/>
      <c r="K3" s="13"/>
    </row>
    <row r="4" spans="4:11" ht="14.25">
      <c r="D4" s="14" t="s">
        <v>2</v>
      </c>
      <c r="E4" s="15"/>
      <c r="F4" s="16"/>
      <c r="G4" s="16"/>
      <c r="H4" s="17"/>
      <c r="J4" s="18"/>
      <c r="K4" s="13"/>
    </row>
    <row r="5" spans="4:11" ht="14.25">
      <c r="D5" s="19" t="s">
        <v>3</v>
      </c>
      <c r="E5" s="19"/>
      <c r="F5" s="19"/>
      <c r="G5" s="19"/>
      <c r="H5" s="17"/>
      <c r="J5" s="18"/>
      <c r="K5" s="13"/>
    </row>
    <row r="6" spans="4:11" ht="14.25">
      <c r="D6" s="20" t="s">
        <v>4</v>
      </c>
      <c r="E6" s="20"/>
      <c r="F6" s="20"/>
      <c r="G6" s="20"/>
      <c r="H6" s="17"/>
      <c r="J6" s="18"/>
      <c r="K6" s="13"/>
    </row>
    <row r="7" spans="4:11" ht="14.25">
      <c r="D7" s="19" t="s">
        <v>5</v>
      </c>
      <c r="E7" s="19"/>
      <c r="F7" s="19"/>
      <c r="G7" s="19"/>
      <c r="H7" s="17"/>
      <c r="J7" s="18"/>
      <c r="K7" s="13"/>
    </row>
    <row r="8" spans="10:11" ht="14.25">
      <c r="J8" s="13"/>
      <c r="K8" s="13"/>
    </row>
    <row r="9" spans="1:20" s="6" customFormat="1" ht="15" customHeight="1">
      <c r="A9" s="21" t="s">
        <v>6</v>
      </c>
      <c r="B9" s="21" t="s">
        <v>7</v>
      </c>
      <c r="C9" s="21" t="s">
        <v>8</v>
      </c>
      <c r="D9" s="21" t="s">
        <v>9</v>
      </c>
      <c r="E9" s="22" t="s">
        <v>10</v>
      </c>
      <c r="F9" s="21" t="s">
        <v>11</v>
      </c>
      <c r="G9" s="21"/>
      <c r="H9" s="23" t="s">
        <v>12</v>
      </c>
      <c r="I9" s="23"/>
      <c r="J9" s="24" t="s">
        <v>13</v>
      </c>
      <c r="K9" s="25" t="s">
        <v>14</v>
      </c>
      <c r="L9" s="26"/>
      <c r="M9" s="26"/>
      <c r="N9" s="26"/>
      <c r="O9" s="26"/>
      <c r="P9" s="27"/>
      <c r="Q9" s="27"/>
      <c r="R9" s="27"/>
      <c r="S9" s="27"/>
      <c r="T9" s="27"/>
    </row>
    <row r="10" spans="1:20" ht="15.75" customHeight="1">
      <c r="A10" s="21"/>
      <c r="B10" s="21"/>
      <c r="C10" s="21"/>
      <c r="D10" s="21"/>
      <c r="E10" s="22"/>
      <c r="F10" s="28" t="s">
        <v>15</v>
      </c>
      <c r="G10" s="29" t="s">
        <v>16</v>
      </c>
      <c r="H10" s="29" t="s">
        <v>15</v>
      </c>
      <c r="I10" s="30" t="s">
        <v>16</v>
      </c>
      <c r="J10" s="29" t="s">
        <v>17</v>
      </c>
      <c r="K10" s="31">
        <f>E4</f>
        <v>0</v>
      </c>
      <c r="L10" s="32"/>
      <c r="M10" s="33"/>
      <c r="N10" s="33"/>
      <c r="O10" s="33"/>
      <c r="P10" s="32"/>
      <c r="Q10" s="32"/>
      <c r="R10" s="33"/>
      <c r="S10" s="33"/>
      <c r="T10" s="32"/>
    </row>
    <row r="11" spans="1:20" ht="13.5">
      <c r="A11" s="34" t="s">
        <v>18</v>
      </c>
      <c r="B11" s="3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42" customFormat="1" ht="13.5">
      <c r="A12" s="37" t="s">
        <v>20</v>
      </c>
      <c r="B12" s="38" t="s">
        <v>21</v>
      </c>
      <c r="C12" s="39" t="s">
        <v>22</v>
      </c>
      <c r="D12" s="40" t="s">
        <v>23</v>
      </c>
      <c r="E12" s="41">
        <f>1.5*2</f>
        <v>3</v>
      </c>
      <c r="F12" s="41"/>
      <c r="G12" s="41"/>
      <c r="H12" s="41"/>
      <c r="I12" s="41"/>
      <c r="J12" s="41"/>
      <c r="K12" s="41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2" customFormat="1" ht="13.5">
      <c r="A13" s="37" t="s">
        <v>24</v>
      </c>
      <c r="B13" s="43">
        <v>73672</v>
      </c>
      <c r="C13" s="39" t="s">
        <v>25</v>
      </c>
      <c r="D13" s="40" t="s">
        <v>23</v>
      </c>
      <c r="E13" s="41">
        <f>E19</f>
        <v>3024.1859999999997</v>
      </c>
      <c r="F13" s="41"/>
      <c r="G13" s="41"/>
      <c r="H13" s="41"/>
      <c r="I13" s="41"/>
      <c r="J13" s="41"/>
      <c r="K13" s="41"/>
      <c r="L13" s="36"/>
      <c r="M13" s="36"/>
      <c r="N13" s="36"/>
      <c r="O13" s="36"/>
      <c r="P13" s="36"/>
      <c r="Q13" s="36"/>
      <c r="R13" s="36"/>
      <c r="S13" s="36"/>
      <c r="T13" s="36"/>
    </row>
    <row r="14" spans="1:20" s="42" customFormat="1" ht="23.25">
      <c r="A14" s="37" t="s">
        <v>26</v>
      </c>
      <c r="B14" s="38" t="s">
        <v>27</v>
      </c>
      <c r="C14" s="44" t="s">
        <v>28</v>
      </c>
      <c r="D14" s="40" t="s">
        <v>29</v>
      </c>
      <c r="E14" s="41">
        <v>1</v>
      </c>
      <c r="F14" s="41"/>
      <c r="G14" s="41"/>
      <c r="H14" s="41"/>
      <c r="I14" s="41"/>
      <c r="J14" s="41"/>
      <c r="K14" s="41"/>
      <c r="L14" s="36"/>
      <c r="M14" s="36"/>
      <c r="N14" s="36"/>
      <c r="O14" s="36"/>
      <c r="P14" s="36"/>
      <c r="Q14" s="36"/>
      <c r="R14" s="36"/>
      <c r="S14" s="36"/>
      <c r="T14" s="36"/>
    </row>
    <row r="15" spans="1:20" s="42" customFormat="1" ht="23.25">
      <c r="A15" s="37" t="s">
        <v>30</v>
      </c>
      <c r="B15" s="38" t="s">
        <v>31</v>
      </c>
      <c r="C15" s="44" t="s">
        <v>32</v>
      </c>
      <c r="D15" s="40" t="s">
        <v>23</v>
      </c>
      <c r="E15" s="41">
        <v>6</v>
      </c>
      <c r="F15" s="41"/>
      <c r="G15" s="41"/>
      <c r="H15" s="41"/>
      <c r="I15" s="41"/>
      <c r="J15" s="41"/>
      <c r="K15" s="41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42" customFormat="1" ht="23.25">
      <c r="A16" s="37" t="s">
        <v>33</v>
      </c>
      <c r="B16" s="38" t="s">
        <v>34</v>
      </c>
      <c r="C16" s="45" t="s">
        <v>35</v>
      </c>
      <c r="D16" s="40" t="s">
        <v>23</v>
      </c>
      <c r="E16" s="41">
        <v>4</v>
      </c>
      <c r="F16" s="41"/>
      <c r="G16" s="41"/>
      <c r="H16" s="41"/>
      <c r="I16" s="41"/>
      <c r="J16" s="41"/>
      <c r="K16" s="41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42" customFormat="1" ht="13.5">
      <c r="A17" s="37" t="s">
        <v>36</v>
      </c>
      <c r="B17" s="37"/>
      <c r="C17" s="46" t="s">
        <v>37</v>
      </c>
      <c r="D17" s="40" t="s">
        <v>29</v>
      </c>
      <c r="E17" s="41">
        <v>1</v>
      </c>
      <c r="F17" s="41"/>
      <c r="G17" s="41"/>
      <c r="H17" s="41"/>
      <c r="I17" s="41"/>
      <c r="J17" s="41"/>
      <c r="K17" s="41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42" customFormat="1" ht="23.25">
      <c r="A18" s="37" t="s">
        <v>38</v>
      </c>
      <c r="B18" s="38" t="s">
        <v>39</v>
      </c>
      <c r="C18" s="47" t="s">
        <v>40</v>
      </c>
      <c r="D18" s="40" t="s">
        <v>29</v>
      </c>
      <c r="E18" s="41">
        <v>1</v>
      </c>
      <c r="F18" s="41"/>
      <c r="G18" s="41"/>
      <c r="H18" s="41"/>
      <c r="I18" s="41"/>
      <c r="J18" s="41"/>
      <c r="K18" s="41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42" customFormat="1" ht="23.25">
      <c r="A19" s="37" t="s">
        <v>41</v>
      </c>
      <c r="B19" s="38" t="s">
        <v>42</v>
      </c>
      <c r="C19" s="44" t="s">
        <v>43</v>
      </c>
      <c r="D19" s="40" t="s">
        <v>23</v>
      </c>
      <c r="E19" s="41">
        <f>E243</f>
        <v>3024.1859999999997</v>
      </c>
      <c r="F19" s="41"/>
      <c r="G19" s="41"/>
      <c r="H19" s="41"/>
      <c r="I19" s="41"/>
      <c r="J19" s="41"/>
      <c r="K19" s="41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42" customFormat="1" ht="13.5">
      <c r="A20" s="37" t="s">
        <v>44</v>
      </c>
      <c r="B20" s="37"/>
      <c r="C20" s="39" t="s">
        <v>45</v>
      </c>
      <c r="D20" s="40"/>
      <c r="E20" s="41"/>
      <c r="F20" s="41"/>
      <c r="G20" s="41"/>
      <c r="H20" s="41"/>
      <c r="I20" s="41"/>
      <c r="J20" s="41"/>
      <c r="K20" s="41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42" customFormat="1" ht="13.5">
      <c r="A21" s="37" t="s">
        <v>46</v>
      </c>
      <c r="B21" s="37"/>
      <c r="C21" s="39" t="s">
        <v>47</v>
      </c>
      <c r="D21" s="40"/>
      <c r="E21" s="41"/>
      <c r="F21" s="41"/>
      <c r="G21" s="41"/>
      <c r="H21" s="41"/>
      <c r="I21" s="41"/>
      <c r="J21" s="41"/>
      <c r="K21" s="41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42" customFormat="1" ht="13.5">
      <c r="A22" s="37" t="s">
        <v>48</v>
      </c>
      <c r="B22" s="37"/>
      <c r="C22" s="39" t="s">
        <v>49</v>
      </c>
      <c r="D22" s="40"/>
      <c r="E22" s="41"/>
      <c r="F22" s="41"/>
      <c r="G22" s="41"/>
      <c r="H22" s="41"/>
      <c r="I22" s="41"/>
      <c r="J22" s="41"/>
      <c r="K22" s="41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42" customFormat="1" ht="13.5">
      <c r="A23" s="37" t="s">
        <v>50</v>
      </c>
      <c r="B23" s="37"/>
      <c r="C23" s="39" t="s">
        <v>51</v>
      </c>
      <c r="D23" s="40"/>
      <c r="E23" s="41"/>
      <c r="F23" s="41"/>
      <c r="G23" s="41"/>
      <c r="H23" s="41"/>
      <c r="I23" s="41"/>
      <c r="J23" s="41"/>
      <c r="K23" s="41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42" customFormat="1" ht="13.5">
      <c r="A24" s="37" t="s">
        <v>52</v>
      </c>
      <c r="B24" s="37"/>
      <c r="C24" s="39" t="s">
        <v>53</v>
      </c>
      <c r="D24" s="40"/>
      <c r="E24" s="41"/>
      <c r="F24" s="41"/>
      <c r="G24" s="41"/>
      <c r="H24" s="41"/>
      <c r="I24" s="41"/>
      <c r="J24" s="41"/>
      <c r="K24" s="41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42" customFormat="1" ht="13.5">
      <c r="A25" s="37" t="s">
        <v>54</v>
      </c>
      <c r="B25" s="37"/>
      <c r="C25" s="39" t="s">
        <v>55</v>
      </c>
      <c r="D25" s="40"/>
      <c r="E25" s="41"/>
      <c r="F25" s="41"/>
      <c r="G25" s="41"/>
      <c r="H25" s="41"/>
      <c r="I25" s="41"/>
      <c r="J25" s="41"/>
      <c r="K25" s="41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2" customFormat="1" ht="13.5">
      <c r="A26" s="37" t="s">
        <v>56</v>
      </c>
      <c r="B26" s="37"/>
      <c r="C26" s="39" t="s">
        <v>57</v>
      </c>
      <c r="D26" s="40"/>
      <c r="E26" s="41"/>
      <c r="F26" s="41"/>
      <c r="G26" s="41"/>
      <c r="H26" s="41"/>
      <c r="I26" s="41"/>
      <c r="J26" s="41"/>
      <c r="K26" s="41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13.5">
      <c r="A27" s="37" t="s">
        <v>58</v>
      </c>
      <c r="B27" s="37"/>
      <c r="C27" s="39" t="s">
        <v>59</v>
      </c>
      <c r="D27" s="48"/>
      <c r="E27" s="49"/>
      <c r="F27" s="50"/>
      <c r="G27" s="50"/>
      <c r="H27" s="50"/>
      <c r="I27" s="50"/>
      <c r="J27" s="39"/>
      <c r="K27" s="39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42" customFormat="1" ht="13.5">
      <c r="A28" s="37" t="s">
        <v>60</v>
      </c>
      <c r="B28" s="37"/>
      <c r="C28" s="39" t="s">
        <v>61</v>
      </c>
      <c r="D28" s="40"/>
      <c r="E28" s="41"/>
      <c r="F28" s="41"/>
      <c r="G28" s="41"/>
      <c r="H28" s="41"/>
      <c r="I28" s="41"/>
      <c r="J28" s="41"/>
      <c r="K28" s="41"/>
      <c r="L28" s="36"/>
      <c r="M28" s="36"/>
      <c r="N28" s="36"/>
      <c r="O28" s="36"/>
      <c r="P28" s="36"/>
      <c r="Q28" s="36"/>
      <c r="R28" s="36"/>
      <c r="S28" s="36"/>
      <c r="T28" s="36"/>
    </row>
    <row r="29" spans="1:11" s="42" customFormat="1" ht="14.25">
      <c r="A29" s="37" t="s">
        <v>62</v>
      </c>
      <c r="B29" s="51"/>
      <c r="C29" s="39" t="s">
        <v>63</v>
      </c>
      <c r="D29" s="50"/>
      <c r="E29" s="50"/>
      <c r="F29" s="50"/>
      <c r="G29" s="50"/>
      <c r="H29" s="50"/>
      <c r="I29" s="50"/>
      <c r="J29" s="39"/>
      <c r="K29" s="39"/>
    </row>
    <row r="30" spans="1:20" ht="13.5">
      <c r="A30" s="52" t="s">
        <v>64</v>
      </c>
      <c r="B30" s="52"/>
      <c r="C30" s="52"/>
      <c r="D30" s="52"/>
      <c r="E30" s="52"/>
      <c r="F30" s="52"/>
      <c r="G30" s="52"/>
      <c r="H30" s="52"/>
      <c r="I30" s="52"/>
      <c r="J30" s="53"/>
      <c r="K30" s="54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42" customFormat="1" ht="13.5">
      <c r="A31" s="37" t="s">
        <v>65</v>
      </c>
      <c r="B31" s="55" t="s">
        <v>66</v>
      </c>
      <c r="C31" s="55"/>
      <c r="D31" s="55"/>
      <c r="E31" s="55"/>
      <c r="F31" s="55"/>
      <c r="G31" s="55"/>
      <c r="H31" s="55"/>
      <c r="I31" s="55"/>
      <c r="J31" s="55"/>
      <c r="K31" s="55"/>
      <c r="L31" s="36"/>
      <c r="M31" s="36"/>
      <c r="N31" s="36"/>
      <c r="O31" s="36"/>
      <c r="P31" s="36"/>
      <c r="Q31" s="36"/>
      <c r="R31" s="36"/>
      <c r="S31" s="36"/>
      <c r="T31" s="36"/>
    </row>
    <row r="32" spans="1:20" s="42" customFormat="1" ht="13.5">
      <c r="A32" s="56" t="s">
        <v>67</v>
      </c>
      <c r="B32" s="57" t="s">
        <v>68</v>
      </c>
      <c r="C32" s="58" t="s">
        <v>69</v>
      </c>
      <c r="D32" s="40"/>
      <c r="E32" s="41">
        <f>E19*0.25</f>
        <v>756.0464999999999</v>
      </c>
      <c r="F32" s="41"/>
      <c r="G32" s="41"/>
      <c r="H32" s="41"/>
      <c r="I32" s="41"/>
      <c r="J32" s="41"/>
      <c r="K32" s="41"/>
      <c r="L32" s="36"/>
      <c r="M32" s="36"/>
      <c r="N32" s="36"/>
      <c r="O32" s="36"/>
      <c r="P32" s="36"/>
      <c r="Q32" s="36"/>
      <c r="R32" s="36"/>
      <c r="S32" s="36"/>
      <c r="T32" s="36"/>
    </row>
    <row r="33" spans="1:20" s="42" customFormat="1" ht="13.5">
      <c r="A33" s="56" t="s">
        <v>70</v>
      </c>
      <c r="B33" s="56"/>
      <c r="C33" s="39" t="s">
        <v>45</v>
      </c>
      <c r="D33" s="40"/>
      <c r="E33" s="41"/>
      <c r="F33" s="41"/>
      <c r="G33" s="41"/>
      <c r="H33" s="41"/>
      <c r="I33" s="41"/>
      <c r="J33" s="41"/>
      <c r="K33" s="41"/>
      <c r="L33" s="36"/>
      <c r="M33" s="36"/>
      <c r="N33" s="36"/>
      <c r="O33" s="36"/>
      <c r="P33" s="36"/>
      <c r="Q33" s="36"/>
      <c r="R33" s="36"/>
      <c r="S33" s="36"/>
      <c r="T33" s="36"/>
    </row>
    <row r="34" spans="1:20" s="42" customFormat="1" ht="13.5">
      <c r="A34" s="56" t="s">
        <v>71</v>
      </c>
      <c r="B34" s="56"/>
      <c r="C34" s="39" t="s">
        <v>47</v>
      </c>
      <c r="D34" s="40"/>
      <c r="E34" s="41"/>
      <c r="F34" s="41"/>
      <c r="G34" s="41"/>
      <c r="H34" s="41"/>
      <c r="I34" s="41"/>
      <c r="J34" s="41"/>
      <c r="K34" s="41"/>
      <c r="L34" s="36"/>
      <c r="M34" s="36"/>
      <c r="N34" s="36"/>
      <c r="O34" s="36"/>
      <c r="P34" s="36"/>
      <c r="Q34" s="36"/>
      <c r="R34" s="36"/>
      <c r="S34" s="36"/>
      <c r="T34" s="36"/>
    </row>
    <row r="35" spans="1:20" s="42" customFormat="1" ht="13.5">
      <c r="A35" s="56" t="s">
        <v>72</v>
      </c>
      <c r="B35" s="56"/>
      <c r="C35" s="39" t="s">
        <v>49</v>
      </c>
      <c r="D35" s="40"/>
      <c r="E35" s="41"/>
      <c r="F35" s="41"/>
      <c r="G35" s="41"/>
      <c r="H35" s="41"/>
      <c r="I35" s="41"/>
      <c r="J35" s="41"/>
      <c r="K35" s="41"/>
      <c r="L35" s="36"/>
      <c r="M35" s="36"/>
      <c r="N35" s="36"/>
      <c r="O35" s="36"/>
      <c r="P35" s="36"/>
      <c r="Q35" s="36"/>
      <c r="R35" s="36"/>
      <c r="S35" s="36"/>
      <c r="T35" s="36"/>
    </row>
    <row r="36" spans="1:20" s="42" customFormat="1" ht="13.5">
      <c r="A36" s="56" t="s">
        <v>73</v>
      </c>
      <c r="B36" s="56"/>
      <c r="C36" s="39" t="s">
        <v>51</v>
      </c>
      <c r="D36" s="40"/>
      <c r="E36" s="41"/>
      <c r="F36" s="41"/>
      <c r="G36" s="41"/>
      <c r="H36" s="41"/>
      <c r="I36" s="41"/>
      <c r="J36" s="41"/>
      <c r="K36" s="41"/>
      <c r="L36" s="36"/>
      <c r="M36" s="36"/>
      <c r="N36" s="36"/>
      <c r="O36" s="36"/>
      <c r="P36" s="36"/>
      <c r="Q36" s="36"/>
      <c r="R36" s="36"/>
      <c r="S36" s="36"/>
      <c r="T36" s="36"/>
    </row>
    <row r="37" spans="1:20" s="42" customFormat="1" ht="13.5">
      <c r="A37" s="56" t="s">
        <v>74</v>
      </c>
      <c r="B37" s="56"/>
      <c r="C37" s="39" t="s">
        <v>53</v>
      </c>
      <c r="D37" s="40"/>
      <c r="E37" s="41"/>
      <c r="F37" s="41"/>
      <c r="G37" s="41"/>
      <c r="H37" s="41"/>
      <c r="I37" s="41"/>
      <c r="J37" s="41"/>
      <c r="K37" s="41"/>
      <c r="L37" s="36"/>
      <c r="M37" s="36"/>
      <c r="N37" s="36"/>
      <c r="O37" s="36"/>
      <c r="P37" s="36"/>
      <c r="Q37" s="36"/>
      <c r="R37" s="36"/>
      <c r="S37" s="36"/>
      <c r="T37" s="36"/>
    </row>
    <row r="38" spans="1:20" s="42" customFormat="1" ht="13.5">
      <c r="A38" s="56" t="s">
        <v>75</v>
      </c>
      <c r="B38" s="56"/>
      <c r="C38" s="39" t="s">
        <v>55</v>
      </c>
      <c r="D38" s="40"/>
      <c r="E38" s="41"/>
      <c r="F38" s="41"/>
      <c r="G38" s="41"/>
      <c r="H38" s="41"/>
      <c r="I38" s="41"/>
      <c r="J38" s="41"/>
      <c r="K38" s="41"/>
      <c r="L38" s="36"/>
      <c r="M38" s="36"/>
      <c r="N38" s="36"/>
      <c r="O38" s="36"/>
      <c r="P38" s="36"/>
      <c r="Q38" s="36"/>
      <c r="R38" s="36"/>
      <c r="S38" s="36"/>
      <c r="T38" s="36"/>
    </row>
    <row r="39" spans="1:20" s="42" customFormat="1" ht="13.5">
      <c r="A39" s="56" t="s">
        <v>76</v>
      </c>
      <c r="B39" s="59"/>
      <c r="C39" s="60" t="s">
        <v>57</v>
      </c>
      <c r="D39" s="61"/>
      <c r="E39" s="62"/>
      <c r="F39" s="62"/>
      <c r="G39" s="62"/>
      <c r="H39" s="62"/>
      <c r="I39" s="62"/>
      <c r="J39" s="41"/>
      <c r="K39" s="41"/>
      <c r="L39" s="36"/>
      <c r="M39" s="36"/>
      <c r="N39" s="36"/>
      <c r="O39" s="36"/>
      <c r="P39" s="36"/>
      <c r="Q39" s="36"/>
      <c r="R39" s="36"/>
      <c r="S39" s="36"/>
      <c r="T39" s="36"/>
    </row>
    <row r="40" spans="1:20" s="42" customFormat="1" ht="13.5">
      <c r="A40" s="56" t="s">
        <v>77</v>
      </c>
      <c r="B40" s="59"/>
      <c r="C40" s="39" t="s">
        <v>59</v>
      </c>
      <c r="D40" s="61"/>
      <c r="E40" s="62"/>
      <c r="F40" s="62"/>
      <c r="G40" s="62"/>
      <c r="H40" s="62"/>
      <c r="I40" s="62"/>
      <c r="J40" s="41"/>
      <c r="K40" s="41"/>
      <c r="L40" s="36"/>
      <c r="M40" s="36"/>
      <c r="N40" s="36"/>
      <c r="O40" s="36"/>
      <c r="P40" s="36"/>
      <c r="Q40" s="36"/>
      <c r="R40" s="36"/>
      <c r="S40" s="36"/>
      <c r="T40" s="36"/>
    </row>
    <row r="41" spans="1:20" s="42" customFormat="1" ht="13.5">
      <c r="A41" s="59" t="s">
        <v>78</v>
      </c>
      <c r="B41" s="59"/>
      <c r="C41" s="60" t="s">
        <v>61</v>
      </c>
      <c r="D41" s="61"/>
      <c r="E41" s="62"/>
      <c r="F41" s="62"/>
      <c r="G41" s="62"/>
      <c r="H41" s="62"/>
      <c r="I41" s="62"/>
      <c r="J41" s="62"/>
      <c r="K41" s="62"/>
      <c r="L41" s="36"/>
      <c r="M41" s="36"/>
      <c r="N41" s="36"/>
      <c r="O41" s="36"/>
      <c r="P41" s="36"/>
      <c r="Q41" s="36"/>
      <c r="R41" s="36"/>
      <c r="S41" s="36"/>
      <c r="T41" s="36"/>
    </row>
    <row r="42" spans="1:20" s="63" customFormat="1" ht="14.25">
      <c r="A42" s="37" t="s">
        <v>79</v>
      </c>
      <c r="B42" s="51"/>
      <c r="C42" s="39" t="s">
        <v>63</v>
      </c>
      <c r="D42" s="48"/>
      <c r="E42" s="49"/>
      <c r="F42" s="50"/>
      <c r="G42" s="50"/>
      <c r="H42" s="50"/>
      <c r="I42" s="50"/>
      <c r="J42" s="39"/>
      <c r="K42" s="39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4.25">
      <c r="A43" s="64" t="s">
        <v>80</v>
      </c>
      <c r="B43" s="64"/>
      <c r="C43" s="64"/>
      <c r="D43" s="64"/>
      <c r="E43" s="64"/>
      <c r="F43" s="64"/>
      <c r="G43" s="64"/>
      <c r="H43" s="64"/>
      <c r="I43" s="64"/>
      <c r="J43" s="65"/>
      <c r="K43" s="6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3.5">
      <c r="A44" s="34" t="s">
        <v>81</v>
      </c>
      <c r="B44" s="35" t="s">
        <v>82</v>
      </c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42" customFormat="1" ht="13.5">
      <c r="A45" s="34" t="s">
        <v>83</v>
      </c>
      <c r="B45" s="37"/>
      <c r="C45" s="39" t="s">
        <v>45</v>
      </c>
      <c r="D45" s="40"/>
      <c r="E45" s="41"/>
      <c r="F45" s="41"/>
      <c r="G45" s="41"/>
      <c r="H45" s="41"/>
      <c r="I45" s="41"/>
      <c r="J45" s="41"/>
      <c r="K45" s="41"/>
      <c r="L45" s="36"/>
      <c r="M45" s="36"/>
      <c r="N45" s="36"/>
      <c r="O45" s="36"/>
      <c r="P45" s="36"/>
      <c r="Q45" s="36"/>
      <c r="R45" s="36"/>
      <c r="S45" s="36"/>
      <c r="T45" s="36"/>
    </row>
    <row r="46" spans="1:20" s="42" customFormat="1" ht="13.5">
      <c r="A46" s="34" t="s">
        <v>84</v>
      </c>
      <c r="B46" s="37"/>
      <c r="C46" s="39" t="s">
        <v>47</v>
      </c>
      <c r="D46" s="40"/>
      <c r="E46" s="41"/>
      <c r="F46" s="41"/>
      <c r="G46" s="41"/>
      <c r="H46" s="41"/>
      <c r="I46" s="41"/>
      <c r="J46" s="41"/>
      <c r="K46" s="41"/>
      <c r="L46" s="36"/>
      <c r="M46" s="36"/>
      <c r="N46" s="36"/>
      <c r="O46" s="36"/>
      <c r="P46" s="36"/>
      <c r="Q46" s="36"/>
      <c r="R46" s="36"/>
      <c r="S46" s="36"/>
      <c r="T46" s="36"/>
    </row>
    <row r="47" spans="1:20" s="42" customFormat="1" ht="13.5">
      <c r="A47" s="34" t="s">
        <v>85</v>
      </c>
      <c r="B47" s="37"/>
      <c r="C47" s="39" t="s">
        <v>49</v>
      </c>
      <c r="D47" s="40"/>
      <c r="E47" s="41"/>
      <c r="F47" s="41"/>
      <c r="G47" s="41"/>
      <c r="H47" s="41"/>
      <c r="I47" s="41"/>
      <c r="J47" s="41"/>
      <c r="K47" s="41"/>
      <c r="L47" s="36"/>
      <c r="M47" s="36"/>
      <c r="N47" s="36"/>
      <c r="O47" s="36"/>
      <c r="P47" s="36"/>
      <c r="Q47" s="36"/>
      <c r="R47" s="36"/>
      <c r="S47" s="36"/>
      <c r="T47" s="36"/>
    </row>
    <row r="48" spans="1:20" s="42" customFormat="1" ht="13.5">
      <c r="A48" s="34" t="s">
        <v>86</v>
      </c>
      <c r="B48" s="37"/>
      <c r="C48" s="39" t="s">
        <v>51</v>
      </c>
      <c r="D48" s="40"/>
      <c r="E48" s="41"/>
      <c r="F48" s="41"/>
      <c r="G48" s="41"/>
      <c r="H48" s="41"/>
      <c r="I48" s="41"/>
      <c r="J48" s="41"/>
      <c r="K48" s="41"/>
      <c r="L48" s="36"/>
      <c r="M48" s="36"/>
      <c r="N48" s="36"/>
      <c r="O48" s="36"/>
      <c r="P48" s="36"/>
      <c r="Q48" s="36"/>
      <c r="R48" s="36"/>
      <c r="S48" s="36"/>
      <c r="T48" s="36"/>
    </row>
    <row r="49" spans="1:20" s="42" customFormat="1" ht="13.5">
      <c r="A49" s="34" t="s">
        <v>87</v>
      </c>
      <c r="B49" s="37"/>
      <c r="C49" s="39" t="s">
        <v>53</v>
      </c>
      <c r="D49" s="40"/>
      <c r="E49" s="41"/>
      <c r="F49" s="41"/>
      <c r="G49" s="41"/>
      <c r="H49" s="41"/>
      <c r="I49" s="41"/>
      <c r="J49" s="41"/>
      <c r="K49" s="41"/>
      <c r="L49" s="36"/>
      <c r="M49" s="36"/>
      <c r="N49" s="36"/>
      <c r="O49" s="36"/>
      <c r="P49" s="36"/>
      <c r="Q49" s="36"/>
      <c r="R49" s="36"/>
      <c r="S49" s="36"/>
      <c r="T49" s="36"/>
    </row>
    <row r="50" spans="1:20" s="42" customFormat="1" ht="13.5">
      <c r="A50" s="34" t="s">
        <v>88</v>
      </c>
      <c r="B50" s="37"/>
      <c r="C50" s="39" t="s">
        <v>55</v>
      </c>
      <c r="D50" s="40"/>
      <c r="E50" s="41"/>
      <c r="F50" s="41"/>
      <c r="G50" s="41"/>
      <c r="H50" s="41"/>
      <c r="I50" s="41"/>
      <c r="J50" s="41"/>
      <c r="K50" s="41"/>
      <c r="L50" s="36"/>
      <c r="M50" s="36"/>
      <c r="N50" s="36"/>
      <c r="O50" s="36"/>
      <c r="P50" s="36"/>
      <c r="Q50" s="36"/>
      <c r="R50" s="36"/>
      <c r="S50" s="36"/>
      <c r="T50" s="36"/>
    </row>
    <row r="51" spans="1:20" s="42" customFormat="1" ht="13.5">
      <c r="A51" s="34" t="s">
        <v>89</v>
      </c>
      <c r="B51" s="37"/>
      <c r="C51" s="60" t="s">
        <v>57</v>
      </c>
      <c r="D51" s="40"/>
      <c r="E51" s="41"/>
      <c r="F51" s="41"/>
      <c r="G51" s="41"/>
      <c r="H51" s="41"/>
      <c r="I51" s="41"/>
      <c r="J51" s="41"/>
      <c r="K51" s="41"/>
      <c r="L51" s="36"/>
      <c r="M51" s="36"/>
      <c r="N51" s="36"/>
      <c r="O51" s="36"/>
      <c r="P51" s="36"/>
      <c r="Q51" s="36"/>
      <c r="R51" s="36"/>
      <c r="S51" s="36"/>
      <c r="T51" s="36"/>
    </row>
    <row r="52" spans="1:20" s="42" customFormat="1" ht="13.5">
      <c r="A52" s="34" t="s">
        <v>90</v>
      </c>
      <c r="B52" s="37"/>
      <c r="C52" s="39" t="s">
        <v>59</v>
      </c>
      <c r="D52" s="40"/>
      <c r="E52" s="41"/>
      <c r="F52" s="41"/>
      <c r="G52" s="41"/>
      <c r="H52" s="41"/>
      <c r="I52" s="41"/>
      <c r="J52" s="41"/>
      <c r="K52" s="41"/>
      <c r="L52" s="36"/>
      <c r="M52" s="36"/>
      <c r="N52" s="36"/>
      <c r="O52" s="36"/>
      <c r="P52" s="36"/>
      <c r="Q52" s="36"/>
      <c r="R52" s="36"/>
      <c r="S52" s="36"/>
      <c r="T52" s="36"/>
    </row>
    <row r="53" spans="1:20" s="42" customFormat="1" ht="13.5">
      <c r="A53" s="34" t="s">
        <v>91</v>
      </c>
      <c r="B53" s="37"/>
      <c r="C53" s="39" t="s">
        <v>61</v>
      </c>
      <c r="D53" s="40"/>
      <c r="E53" s="41"/>
      <c r="F53" s="41"/>
      <c r="G53" s="41"/>
      <c r="H53" s="41"/>
      <c r="I53" s="41"/>
      <c r="J53" s="41"/>
      <c r="K53" s="41"/>
      <c r="L53" s="36"/>
      <c r="M53" s="36"/>
      <c r="N53" s="36"/>
      <c r="O53" s="36"/>
      <c r="P53" s="36"/>
      <c r="Q53" s="36"/>
      <c r="R53" s="36"/>
      <c r="S53" s="36"/>
      <c r="T53" s="36"/>
    </row>
    <row r="54" spans="1:20" s="42" customFormat="1" ht="13.5">
      <c r="A54" s="34" t="s">
        <v>92</v>
      </c>
      <c r="B54" s="37"/>
      <c r="C54" s="39" t="s">
        <v>63</v>
      </c>
      <c r="D54" s="40"/>
      <c r="E54" s="41"/>
      <c r="F54" s="41"/>
      <c r="G54" s="41"/>
      <c r="H54" s="41"/>
      <c r="I54" s="41"/>
      <c r="J54" s="41"/>
      <c r="K54" s="41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13.5">
      <c r="A55" s="67" t="s">
        <v>93</v>
      </c>
      <c r="B55" s="67"/>
      <c r="C55" s="67"/>
      <c r="D55" s="67"/>
      <c r="E55" s="67"/>
      <c r="F55" s="67"/>
      <c r="G55" s="67"/>
      <c r="H55" s="67"/>
      <c r="I55" s="67"/>
      <c r="J55" s="53"/>
      <c r="K55" s="53"/>
      <c r="L55" s="68"/>
      <c r="M55" s="36"/>
      <c r="N55" s="36"/>
      <c r="O55" s="36"/>
      <c r="P55" s="36"/>
      <c r="Q55" s="36"/>
      <c r="R55" s="36"/>
      <c r="S55" s="36"/>
      <c r="T55" s="36"/>
    </row>
    <row r="56" spans="1:22" s="73" customFormat="1" ht="13.5">
      <c r="A56" s="69" t="s">
        <v>94</v>
      </c>
      <c r="B56" s="70" t="s">
        <v>95</v>
      </c>
      <c r="C56" s="70"/>
      <c r="D56" s="70"/>
      <c r="E56" s="70"/>
      <c r="F56" s="70"/>
      <c r="G56" s="70"/>
      <c r="H56" s="70"/>
      <c r="I56" s="70"/>
      <c r="J56" s="70"/>
      <c r="K56" s="70"/>
      <c r="L56" s="71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2" s="78" customFormat="1" ht="13.5">
      <c r="A57" s="74" t="s">
        <v>96</v>
      </c>
      <c r="B57" s="74"/>
      <c r="C57" s="39" t="s">
        <v>45</v>
      </c>
      <c r="D57" s="75"/>
      <c r="E57" s="76"/>
      <c r="F57" s="76"/>
      <c r="G57" s="76"/>
      <c r="H57" s="76"/>
      <c r="I57" s="76"/>
      <c r="J57" s="77"/>
      <c r="K57" s="77"/>
      <c r="L57" s="71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2" s="78" customFormat="1" ht="13.5">
      <c r="A58" s="74" t="s">
        <v>97</v>
      </c>
      <c r="B58" s="74"/>
      <c r="C58" s="39" t="s">
        <v>47</v>
      </c>
      <c r="D58" s="75"/>
      <c r="E58" s="76"/>
      <c r="F58" s="76"/>
      <c r="G58" s="76"/>
      <c r="H58" s="76"/>
      <c r="I58" s="76"/>
      <c r="J58" s="77"/>
      <c r="K58" s="77"/>
      <c r="L58" s="71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s="78" customFormat="1" ht="13.5">
      <c r="A59" s="74" t="s">
        <v>98</v>
      </c>
      <c r="B59" s="74"/>
      <c r="C59" s="39" t="s">
        <v>49</v>
      </c>
      <c r="D59" s="75"/>
      <c r="E59" s="76"/>
      <c r="F59" s="76"/>
      <c r="G59" s="76"/>
      <c r="H59" s="76"/>
      <c r="I59" s="76"/>
      <c r="J59" s="77"/>
      <c r="K59" s="77"/>
      <c r="L59" s="71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1:22" s="78" customFormat="1" ht="13.5">
      <c r="A60" s="74" t="s">
        <v>99</v>
      </c>
      <c r="B60" s="74"/>
      <c r="C60" s="39" t="s">
        <v>51</v>
      </c>
      <c r="D60" s="75"/>
      <c r="E60" s="76"/>
      <c r="F60" s="76"/>
      <c r="G60" s="76"/>
      <c r="H60" s="76"/>
      <c r="I60" s="76"/>
      <c r="J60" s="77"/>
      <c r="K60" s="77"/>
      <c r="L60" s="71"/>
      <c r="M60" s="72"/>
      <c r="N60" s="72"/>
      <c r="O60" s="72"/>
      <c r="P60" s="72"/>
      <c r="Q60" s="72"/>
      <c r="R60" s="72"/>
      <c r="S60" s="72"/>
      <c r="T60" s="72"/>
      <c r="U60" s="72"/>
      <c r="V60" s="72"/>
    </row>
    <row r="61" spans="1:22" s="78" customFormat="1" ht="13.5">
      <c r="A61" s="74" t="s">
        <v>100</v>
      </c>
      <c r="B61" s="74"/>
      <c r="C61" s="39" t="s">
        <v>53</v>
      </c>
      <c r="D61" s="75"/>
      <c r="E61" s="76"/>
      <c r="F61" s="76"/>
      <c r="G61" s="76"/>
      <c r="H61" s="76"/>
      <c r="I61" s="76"/>
      <c r="J61" s="77"/>
      <c r="K61" s="77"/>
      <c r="L61" s="71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1:22" s="78" customFormat="1" ht="13.5">
      <c r="A62" s="74" t="s">
        <v>101</v>
      </c>
      <c r="B62" s="74"/>
      <c r="C62" s="39" t="s">
        <v>55</v>
      </c>
      <c r="D62" s="75"/>
      <c r="E62" s="76"/>
      <c r="F62" s="76"/>
      <c r="G62" s="76"/>
      <c r="H62" s="76"/>
      <c r="I62" s="76"/>
      <c r="J62" s="77"/>
      <c r="K62" s="77"/>
      <c r="L62" s="71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1:22" s="78" customFormat="1" ht="13.5">
      <c r="A63" s="74" t="s">
        <v>102</v>
      </c>
      <c r="B63" s="74"/>
      <c r="C63" s="60" t="s">
        <v>57</v>
      </c>
      <c r="D63" s="75"/>
      <c r="E63" s="76"/>
      <c r="F63" s="76"/>
      <c r="G63" s="76"/>
      <c r="H63" s="76"/>
      <c r="I63" s="76"/>
      <c r="J63" s="77"/>
      <c r="K63" s="77"/>
      <c r="L63" s="71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1:22" s="78" customFormat="1" ht="13.5">
      <c r="A64" s="74" t="s">
        <v>103</v>
      </c>
      <c r="B64" s="74"/>
      <c r="C64" s="39" t="s">
        <v>59</v>
      </c>
      <c r="D64" s="75"/>
      <c r="E64" s="76"/>
      <c r="F64" s="76"/>
      <c r="G64" s="76"/>
      <c r="H64" s="76"/>
      <c r="I64" s="76"/>
      <c r="J64" s="77"/>
      <c r="K64" s="77"/>
      <c r="L64" s="71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1:22" s="78" customFormat="1" ht="13.5">
      <c r="A65" s="74" t="s">
        <v>104</v>
      </c>
      <c r="B65" s="74"/>
      <c r="C65" s="39" t="s">
        <v>61</v>
      </c>
      <c r="D65" s="75"/>
      <c r="E65" s="76"/>
      <c r="F65" s="76"/>
      <c r="G65" s="76"/>
      <c r="H65" s="76"/>
      <c r="I65" s="76"/>
      <c r="J65" s="77"/>
      <c r="K65" s="77"/>
      <c r="L65" s="71"/>
      <c r="M65" s="72"/>
      <c r="N65" s="72"/>
      <c r="O65" s="72"/>
      <c r="P65" s="72"/>
      <c r="Q65" s="72"/>
      <c r="R65" s="72"/>
      <c r="S65" s="72"/>
      <c r="T65" s="72"/>
      <c r="U65" s="72"/>
      <c r="V65" s="72"/>
    </row>
    <row r="66" spans="1:22" s="78" customFormat="1" ht="13.5">
      <c r="A66" s="74" t="s">
        <v>105</v>
      </c>
      <c r="B66" s="74"/>
      <c r="C66" s="39" t="s">
        <v>63</v>
      </c>
      <c r="D66" s="75"/>
      <c r="E66" s="76"/>
      <c r="F66" s="76"/>
      <c r="G66" s="76"/>
      <c r="H66" s="76"/>
      <c r="I66" s="76"/>
      <c r="J66" s="77"/>
      <c r="K66" s="77"/>
      <c r="L66" s="71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1:22" s="73" customFormat="1" ht="13.5">
      <c r="A67" s="79" t="s">
        <v>106</v>
      </c>
      <c r="B67" s="79"/>
      <c r="C67" s="79"/>
      <c r="D67" s="79"/>
      <c r="E67" s="79"/>
      <c r="F67" s="79"/>
      <c r="G67" s="79"/>
      <c r="H67" s="79"/>
      <c r="I67" s="79"/>
      <c r="J67" s="53"/>
      <c r="K67" s="53"/>
      <c r="L67" s="80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1:22" s="78" customFormat="1" ht="13.5">
      <c r="A68" s="74" t="s">
        <v>107</v>
      </c>
      <c r="B68" s="81" t="s">
        <v>108</v>
      </c>
      <c r="C68" s="81"/>
      <c r="D68" s="81"/>
      <c r="E68" s="81"/>
      <c r="F68" s="81"/>
      <c r="G68" s="81"/>
      <c r="H68" s="81"/>
      <c r="I68" s="81"/>
      <c r="J68" s="81"/>
      <c r="K68" s="81"/>
      <c r="L68" s="71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0" s="42" customFormat="1" ht="13.5">
      <c r="A69" s="37" t="s">
        <v>109</v>
      </c>
      <c r="B69" s="37"/>
      <c r="C69" s="39" t="s">
        <v>45</v>
      </c>
      <c r="D69" s="40"/>
      <c r="E69" s="41"/>
      <c r="F69" s="41"/>
      <c r="G69" s="41"/>
      <c r="H69" s="41"/>
      <c r="I69" s="41"/>
      <c r="J69" s="41"/>
      <c r="K69" s="41"/>
      <c r="L69" s="36"/>
      <c r="M69" s="36"/>
      <c r="N69" s="36"/>
      <c r="O69" s="36"/>
      <c r="P69" s="36"/>
      <c r="Q69" s="36"/>
      <c r="R69" s="36"/>
      <c r="S69" s="36"/>
      <c r="T69" s="36"/>
    </row>
    <row r="70" spans="1:20" s="42" customFormat="1" ht="13.5">
      <c r="A70" s="37" t="s">
        <v>110</v>
      </c>
      <c r="B70" s="37"/>
      <c r="C70" s="39" t="s">
        <v>47</v>
      </c>
      <c r="D70" s="40"/>
      <c r="E70" s="41"/>
      <c r="F70" s="41"/>
      <c r="G70" s="41"/>
      <c r="H70" s="41"/>
      <c r="I70" s="41"/>
      <c r="J70" s="41"/>
      <c r="K70" s="41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42" customFormat="1" ht="13.5">
      <c r="A71" s="37" t="s">
        <v>111</v>
      </c>
      <c r="B71" s="37"/>
      <c r="C71" s="39" t="s">
        <v>49</v>
      </c>
      <c r="D71" s="40"/>
      <c r="E71" s="41"/>
      <c r="F71" s="41"/>
      <c r="G71" s="41"/>
      <c r="H71" s="41"/>
      <c r="I71" s="41"/>
      <c r="J71" s="41"/>
      <c r="K71" s="41"/>
      <c r="L71" s="36"/>
      <c r="M71" s="36"/>
      <c r="N71" s="36"/>
      <c r="O71" s="36"/>
      <c r="P71" s="36"/>
      <c r="Q71" s="36"/>
      <c r="R71" s="36"/>
      <c r="S71" s="36"/>
      <c r="T71" s="36"/>
    </row>
    <row r="72" spans="1:20" s="42" customFormat="1" ht="13.5">
      <c r="A72" s="37" t="s">
        <v>112</v>
      </c>
      <c r="B72" s="37"/>
      <c r="C72" s="39" t="s">
        <v>51</v>
      </c>
      <c r="D72" s="40"/>
      <c r="E72" s="41"/>
      <c r="F72" s="41"/>
      <c r="G72" s="41"/>
      <c r="H72" s="41"/>
      <c r="I72" s="41"/>
      <c r="J72" s="41"/>
      <c r="K72" s="41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42" customFormat="1" ht="13.5">
      <c r="A73" s="37" t="s">
        <v>113</v>
      </c>
      <c r="B73" s="37"/>
      <c r="C73" s="39" t="s">
        <v>53</v>
      </c>
      <c r="D73" s="40"/>
      <c r="E73" s="41"/>
      <c r="F73" s="41"/>
      <c r="G73" s="41"/>
      <c r="H73" s="41"/>
      <c r="I73" s="41"/>
      <c r="J73" s="41"/>
      <c r="K73" s="41"/>
      <c r="L73" s="36"/>
      <c r="M73" s="36"/>
      <c r="N73" s="36"/>
      <c r="O73" s="36"/>
      <c r="P73" s="36"/>
      <c r="Q73" s="36"/>
      <c r="R73" s="36"/>
      <c r="S73" s="36"/>
      <c r="T73" s="36"/>
    </row>
    <row r="74" spans="1:20" s="42" customFormat="1" ht="13.5">
      <c r="A74" s="37" t="s">
        <v>114</v>
      </c>
      <c r="B74" s="37"/>
      <c r="C74" s="39" t="s">
        <v>55</v>
      </c>
      <c r="D74" s="40"/>
      <c r="E74" s="41"/>
      <c r="F74" s="41"/>
      <c r="G74" s="41"/>
      <c r="H74" s="41"/>
      <c r="I74" s="41"/>
      <c r="J74" s="41"/>
      <c r="K74" s="41"/>
      <c r="L74" s="36"/>
      <c r="M74" s="36"/>
      <c r="N74" s="36"/>
      <c r="O74" s="36"/>
      <c r="P74" s="36"/>
      <c r="Q74" s="36"/>
      <c r="R74" s="36"/>
      <c r="S74" s="36"/>
      <c r="T74" s="36"/>
    </row>
    <row r="75" spans="1:20" s="42" customFormat="1" ht="13.5">
      <c r="A75" s="37" t="s">
        <v>115</v>
      </c>
      <c r="B75" s="37"/>
      <c r="C75" s="60" t="s">
        <v>57</v>
      </c>
      <c r="D75" s="40"/>
      <c r="E75" s="41"/>
      <c r="F75" s="41"/>
      <c r="G75" s="41"/>
      <c r="H75" s="41"/>
      <c r="I75" s="41"/>
      <c r="J75" s="41"/>
      <c r="K75" s="41"/>
      <c r="L75" s="36"/>
      <c r="M75" s="36"/>
      <c r="N75" s="36"/>
      <c r="O75" s="36"/>
      <c r="P75" s="36"/>
      <c r="Q75" s="36"/>
      <c r="R75" s="36"/>
      <c r="S75" s="36"/>
      <c r="T75" s="36"/>
    </row>
    <row r="76" spans="1:20" s="42" customFormat="1" ht="13.5">
      <c r="A76" s="37" t="s">
        <v>116</v>
      </c>
      <c r="B76" s="37"/>
      <c r="C76" s="39" t="s">
        <v>59</v>
      </c>
      <c r="D76" s="40"/>
      <c r="E76" s="41"/>
      <c r="F76" s="41"/>
      <c r="G76" s="41"/>
      <c r="H76" s="41"/>
      <c r="I76" s="41"/>
      <c r="J76" s="41"/>
      <c r="K76" s="41"/>
      <c r="L76" s="36"/>
      <c r="M76" s="36"/>
      <c r="N76" s="36"/>
      <c r="O76" s="36"/>
      <c r="P76" s="36"/>
      <c r="Q76" s="36"/>
      <c r="R76" s="36"/>
      <c r="S76" s="36"/>
      <c r="T76" s="36"/>
    </row>
    <row r="77" spans="1:20" s="42" customFormat="1" ht="13.5">
      <c r="A77" s="37" t="s">
        <v>117</v>
      </c>
      <c r="B77" s="37"/>
      <c r="C77" s="39" t="s">
        <v>61</v>
      </c>
      <c r="D77" s="40"/>
      <c r="E77" s="41"/>
      <c r="F77" s="41"/>
      <c r="G77" s="41"/>
      <c r="H77" s="41"/>
      <c r="I77" s="41"/>
      <c r="J77" s="41"/>
      <c r="K77" s="41"/>
      <c r="L77" s="36"/>
      <c r="M77" s="36"/>
      <c r="N77" s="36"/>
      <c r="O77" s="36"/>
      <c r="P77" s="36"/>
      <c r="Q77" s="36"/>
      <c r="R77" s="36"/>
      <c r="S77" s="36"/>
      <c r="T77" s="36"/>
    </row>
    <row r="78" spans="1:20" s="42" customFormat="1" ht="13.5">
      <c r="A78" s="37" t="s">
        <v>118</v>
      </c>
      <c r="B78" s="37"/>
      <c r="C78" s="39" t="s">
        <v>63</v>
      </c>
      <c r="D78" s="40"/>
      <c r="E78" s="41"/>
      <c r="F78" s="41"/>
      <c r="G78" s="41"/>
      <c r="H78" s="41"/>
      <c r="I78" s="41"/>
      <c r="J78" s="41"/>
      <c r="K78" s="41"/>
      <c r="L78" s="36"/>
      <c r="M78" s="36"/>
      <c r="N78" s="36"/>
      <c r="O78" s="36"/>
      <c r="P78" s="36"/>
      <c r="Q78" s="36"/>
      <c r="R78" s="36"/>
      <c r="S78" s="36"/>
      <c r="T78" s="36"/>
    </row>
    <row r="79" spans="1:22" s="73" customFormat="1" ht="13.5">
      <c r="A79" s="79" t="s">
        <v>119</v>
      </c>
      <c r="B79" s="79"/>
      <c r="C79" s="79"/>
      <c r="D79" s="79"/>
      <c r="E79" s="79"/>
      <c r="F79" s="79"/>
      <c r="G79" s="79"/>
      <c r="H79" s="79"/>
      <c r="I79" s="79"/>
      <c r="J79" s="53"/>
      <c r="K79" s="53"/>
      <c r="L79" s="80"/>
      <c r="M79" s="72"/>
      <c r="N79" s="72"/>
      <c r="O79" s="72"/>
      <c r="P79" s="72"/>
      <c r="Q79" s="72"/>
      <c r="R79" s="72"/>
      <c r="S79" s="72"/>
      <c r="T79" s="72"/>
      <c r="U79" s="72"/>
      <c r="V79" s="72"/>
    </row>
    <row r="80" spans="1:20" s="42" customFormat="1" ht="15.75" customHeight="1">
      <c r="A80" s="34" t="s">
        <v>120</v>
      </c>
      <c r="B80" s="35" t="s">
        <v>121</v>
      </c>
      <c r="C80" s="35"/>
      <c r="D80" s="35"/>
      <c r="E80" s="35"/>
      <c r="F80" s="35"/>
      <c r="G80" s="35"/>
      <c r="H80" s="35"/>
      <c r="I80" s="35"/>
      <c r="J80" s="35"/>
      <c r="K80" s="35"/>
      <c r="L80" s="68"/>
      <c r="M80" s="36"/>
      <c r="N80" s="36"/>
      <c r="O80" s="36"/>
      <c r="P80" s="36"/>
      <c r="Q80" s="36"/>
      <c r="R80" s="36"/>
      <c r="S80" s="36"/>
      <c r="T80" s="36"/>
    </row>
    <row r="81" spans="1:20" s="42" customFormat="1" ht="15.75" customHeight="1">
      <c r="A81" s="82" t="s">
        <v>122</v>
      </c>
      <c r="B81" s="82"/>
      <c r="C81" s="39" t="s">
        <v>45</v>
      </c>
      <c r="D81" s="40"/>
      <c r="E81" s="83"/>
      <c r="F81" s="83"/>
      <c r="G81" s="83"/>
      <c r="H81" s="83"/>
      <c r="I81" s="83"/>
      <c r="J81" s="83"/>
      <c r="K81" s="83"/>
      <c r="L81" s="36"/>
      <c r="M81" s="36"/>
      <c r="N81" s="36"/>
      <c r="O81" s="36"/>
      <c r="P81" s="36"/>
      <c r="Q81" s="36"/>
      <c r="R81" s="36"/>
      <c r="S81" s="36"/>
      <c r="T81" s="36"/>
    </row>
    <row r="82" spans="1:20" s="42" customFormat="1" ht="15.75" customHeight="1">
      <c r="A82" s="82" t="s">
        <v>123</v>
      </c>
      <c r="B82" s="82"/>
      <c r="C82" s="39" t="s">
        <v>47</v>
      </c>
      <c r="D82" s="40"/>
      <c r="E82" s="83"/>
      <c r="F82" s="83"/>
      <c r="G82" s="83"/>
      <c r="H82" s="83"/>
      <c r="I82" s="83"/>
      <c r="J82" s="83"/>
      <c r="K82" s="83"/>
      <c r="L82" s="36"/>
      <c r="M82" s="36"/>
      <c r="N82" s="36"/>
      <c r="O82" s="36"/>
      <c r="P82" s="36"/>
      <c r="Q82" s="36"/>
      <c r="R82" s="36"/>
      <c r="S82" s="36"/>
      <c r="T82" s="36"/>
    </row>
    <row r="83" spans="1:20" s="42" customFormat="1" ht="15.75" customHeight="1">
      <c r="A83" s="82" t="s">
        <v>124</v>
      </c>
      <c r="B83" s="82"/>
      <c r="C83" s="39" t="s">
        <v>49</v>
      </c>
      <c r="D83" s="40"/>
      <c r="E83" s="83"/>
      <c r="F83" s="83"/>
      <c r="G83" s="83"/>
      <c r="H83" s="83"/>
      <c r="I83" s="83"/>
      <c r="J83" s="83"/>
      <c r="K83" s="83"/>
      <c r="L83" s="36"/>
      <c r="M83" s="36"/>
      <c r="N83" s="36"/>
      <c r="O83" s="36"/>
      <c r="P83" s="36"/>
      <c r="Q83" s="36"/>
      <c r="R83" s="36"/>
      <c r="S83" s="36"/>
      <c r="T83" s="36"/>
    </row>
    <row r="84" spans="1:20" s="42" customFormat="1" ht="15.75" customHeight="1">
      <c r="A84" s="82" t="s">
        <v>125</v>
      </c>
      <c r="B84" s="82"/>
      <c r="C84" s="39" t="s">
        <v>51</v>
      </c>
      <c r="D84" s="40"/>
      <c r="E84" s="83"/>
      <c r="F84" s="83"/>
      <c r="G84" s="83"/>
      <c r="H84" s="83"/>
      <c r="I84" s="83"/>
      <c r="J84" s="83"/>
      <c r="K84" s="83"/>
      <c r="L84" s="36"/>
      <c r="M84" s="36"/>
      <c r="N84" s="36"/>
      <c r="O84" s="36"/>
      <c r="P84" s="36"/>
      <c r="Q84" s="36"/>
      <c r="R84" s="36"/>
      <c r="S84" s="36"/>
      <c r="T84" s="36"/>
    </row>
    <row r="85" spans="1:20" s="42" customFormat="1" ht="15.75" customHeight="1">
      <c r="A85" s="82" t="s">
        <v>126</v>
      </c>
      <c r="B85" s="82"/>
      <c r="C85" s="39" t="s">
        <v>53</v>
      </c>
      <c r="D85" s="40"/>
      <c r="E85" s="83"/>
      <c r="F85" s="83"/>
      <c r="G85" s="83"/>
      <c r="H85" s="83"/>
      <c r="I85" s="83"/>
      <c r="J85" s="83"/>
      <c r="K85" s="83"/>
      <c r="L85" s="36"/>
      <c r="M85" s="36"/>
      <c r="N85" s="36"/>
      <c r="O85" s="36"/>
      <c r="P85" s="36"/>
      <c r="Q85" s="36"/>
      <c r="R85" s="36"/>
      <c r="S85" s="36"/>
      <c r="T85" s="36"/>
    </row>
    <row r="86" spans="1:20" s="42" customFormat="1" ht="15.75" customHeight="1">
      <c r="A86" s="82" t="s">
        <v>127</v>
      </c>
      <c r="B86" s="82"/>
      <c r="C86" s="39" t="s">
        <v>55</v>
      </c>
      <c r="D86" s="40"/>
      <c r="E86" s="83"/>
      <c r="F86" s="83"/>
      <c r="G86" s="83"/>
      <c r="H86" s="83"/>
      <c r="I86" s="83"/>
      <c r="J86" s="83"/>
      <c r="K86" s="83"/>
      <c r="L86" s="36"/>
      <c r="M86" s="36"/>
      <c r="N86" s="36"/>
      <c r="O86" s="36"/>
      <c r="P86" s="36"/>
      <c r="Q86" s="36"/>
      <c r="R86" s="36"/>
      <c r="S86" s="36"/>
      <c r="T86" s="36"/>
    </row>
    <row r="87" spans="1:20" s="42" customFormat="1" ht="15.75" customHeight="1">
      <c r="A87" s="82" t="s">
        <v>128</v>
      </c>
      <c r="B87" s="82"/>
      <c r="C87" s="60" t="s">
        <v>57</v>
      </c>
      <c r="D87" s="40"/>
      <c r="E87" s="83"/>
      <c r="F87" s="83"/>
      <c r="G87" s="83"/>
      <c r="H87" s="83"/>
      <c r="I87" s="83"/>
      <c r="J87" s="83"/>
      <c r="K87" s="83"/>
      <c r="L87" s="36"/>
      <c r="M87" s="36"/>
      <c r="N87" s="36"/>
      <c r="O87" s="36"/>
      <c r="P87" s="36"/>
      <c r="Q87" s="36"/>
      <c r="R87" s="36"/>
      <c r="S87" s="36"/>
      <c r="T87" s="36"/>
    </row>
    <row r="88" spans="1:20" s="42" customFormat="1" ht="15.75" customHeight="1">
      <c r="A88" s="82" t="s">
        <v>129</v>
      </c>
      <c r="B88" s="82"/>
      <c r="C88" s="39" t="s">
        <v>59</v>
      </c>
      <c r="D88" s="40"/>
      <c r="E88" s="83"/>
      <c r="F88" s="83"/>
      <c r="G88" s="83"/>
      <c r="H88" s="83"/>
      <c r="I88" s="83"/>
      <c r="J88" s="83"/>
      <c r="K88" s="83"/>
      <c r="L88" s="36"/>
      <c r="M88" s="36"/>
      <c r="N88" s="36"/>
      <c r="O88" s="36"/>
      <c r="P88" s="36"/>
      <c r="Q88" s="36"/>
      <c r="R88" s="36"/>
      <c r="S88" s="36"/>
      <c r="T88" s="36"/>
    </row>
    <row r="89" spans="1:20" s="42" customFormat="1" ht="15.75" customHeight="1">
      <c r="A89" s="82" t="s">
        <v>130</v>
      </c>
      <c r="B89" s="82"/>
      <c r="C89" s="39" t="s">
        <v>61</v>
      </c>
      <c r="D89" s="40"/>
      <c r="E89" s="83"/>
      <c r="F89" s="83"/>
      <c r="G89" s="83"/>
      <c r="H89" s="83"/>
      <c r="I89" s="83"/>
      <c r="J89" s="83"/>
      <c r="K89" s="83"/>
      <c r="L89" s="36"/>
      <c r="M89" s="36"/>
      <c r="N89" s="36"/>
      <c r="O89" s="36"/>
      <c r="P89" s="36"/>
      <c r="Q89" s="36"/>
      <c r="R89" s="36"/>
      <c r="S89" s="36"/>
      <c r="T89" s="36"/>
    </row>
    <row r="90" spans="1:20" s="42" customFormat="1" ht="15.75" customHeight="1">
      <c r="A90" s="82" t="s">
        <v>131</v>
      </c>
      <c r="B90" s="37"/>
      <c r="C90" s="39" t="s">
        <v>63</v>
      </c>
      <c r="D90" s="40"/>
      <c r="E90" s="83"/>
      <c r="F90" s="83"/>
      <c r="G90" s="83"/>
      <c r="H90" s="83"/>
      <c r="I90" s="83"/>
      <c r="J90" s="83"/>
      <c r="K90" s="83"/>
      <c r="L90" s="36"/>
      <c r="M90" s="36"/>
      <c r="N90" s="36"/>
      <c r="O90" s="36"/>
      <c r="P90" s="36"/>
      <c r="Q90" s="36"/>
      <c r="R90" s="36"/>
      <c r="S90" s="36"/>
      <c r="T90" s="36"/>
    </row>
    <row r="91" spans="1:20" s="42" customFormat="1" ht="15.75" customHeight="1">
      <c r="A91" s="67" t="s">
        <v>132</v>
      </c>
      <c r="B91" s="67"/>
      <c r="C91" s="67"/>
      <c r="D91" s="67"/>
      <c r="E91" s="67"/>
      <c r="F91" s="67"/>
      <c r="G91" s="67"/>
      <c r="H91" s="67"/>
      <c r="I91" s="67"/>
      <c r="J91" s="84"/>
      <c r="K91" s="84"/>
      <c r="L91" s="68"/>
      <c r="M91" s="36"/>
      <c r="N91" s="36"/>
      <c r="O91" s="36"/>
      <c r="P91" s="36"/>
      <c r="Q91" s="36"/>
      <c r="R91" s="36"/>
      <c r="S91" s="36"/>
      <c r="T91" s="36"/>
    </row>
    <row r="92" spans="1:22" s="73" customFormat="1" ht="13.5">
      <c r="A92" s="69" t="s">
        <v>133</v>
      </c>
      <c r="B92" s="85" t="s">
        <v>134</v>
      </c>
      <c r="C92" s="85"/>
      <c r="D92" s="85"/>
      <c r="E92" s="85"/>
      <c r="F92" s="85"/>
      <c r="G92" s="85"/>
      <c r="H92" s="85"/>
      <c r="I92" s="85"/>
      <c r="J92" s="85"/>
      <c r="K92" s="85"/>
      <c r="L92" s="71"/>
      <c r="M92" s="72"/>
      <c r="N92" s="72"/>
      <c r="O92" s="72"/>
      <c r="P92" s="72"/>
      <c r="Q92" s="72"/>
      <c r="R92" s="72"/>
      <c r="S92" s="72"/>
      <c r="T92" s="72"/>
      <c r="U92" s="72"/>
      <c r="V92" s="72"/>
    </row>
    <row r="93" spans="1:22" s="78" customFormat="1" ht="13.5">
      <c r="A93" s="74" t="s">
        <v>135</v>
      </c>
      <c r="B93" s="74"/>
      <c r="C93" s="39" t="s">
        <v>45</v>
      </c>
      <c r="D93" s="75"/>
      <c r="E93" s="76"/>
      <c r="F93" s="76"/>
      <c r="G93" s="76"/>
      <c r="H93" s="76"/>
      <c r="I93" s="76"/>
      <c r="J93" s="77"/>
      <c r="K93" s="77"/>
      <c r="L93" s="71"/>
      <c r="M93" s="72"/>
      <c r="N93" s="72"/>
      <c r="O93" s="72"/>
      <c r="P93" s="72"/>
      <c r="Q93" s="72"/>
      <c r="R93" s="72"/>
      <c r="S93" s="72"/>
      <c r="T93" s="72"/>
      <c r="U93" s="72"/>
      <c r="V93" s="72"/>
    </row>
    <row r="94" spans="1:22" s="78" customFormat="1" ht="13.5">
      <c r="A94" s="74" t="s">
        <v>136</v>
      </c>
      <c r="B94" s="74"/>
      <c r="C94" s="39" t="s">
        <v>47</v>
      </c>
      <c r="D94" s="75"/>
      <c r="E94" s="76"/>
      <c r="F94" s="76"/>
      <c r="G94" s="76"/>
      <c r="H94" s="76"/>
      <c r="I94" s="76"/>
      <c r="J94" s="77"/>
      <c r="K94" s="77"/>
      <c r="L94" s="71"/>
      <c r="M94" s="72"/>
      <c r="N94" s="72"/>
      <c r="O94" s="72"/>
      <c r="P94" s="72"/>
      <c r="Q94" s="72"/>
      <c r="R94" s="72"/>
      <c r="S94" s="72"/>
      <c r="T94" s="72"/>
      <c r="U94" s="72"/>
      <c r="V94" s="72"/>
    </row>
    <row r="95" spans="1:22" s="78" customFormat="1" ht="13.5">
      <c r="A95" s="74" t="s">
        <v>137</v>
      </c>
      <c r="B95" s="74"/>
      <c r="C95" s="39" t="s">
        <v>49</v>
      </c>
      <c r="D95" s="75"/>
      <c r="E95" s="76"/>
      <c r="F95" s="76"/>
      <c r="G95" s="76"/>
      <c r="H95" s="76"/>
      <c r="I95" s="76"/>
      <c r="J95" s="77"/>
      <c r="K95" s="77"/>
      <c r="L95" s="71"/>
      <c r="M95" s="72"/>
      <c r="N95" s="72"/>
      <c r="O95" s="72"/>
      <c r="P95" s="72"/>
      <c r="Q95" s="72"/>
      <c r="R95" s="72"/>
      <c r="S95" s="72"/>
      <c r="T95" s="72"/>
      <c r="U95" s="72"/>
      <c r="V95" s="72"/>
    </row>
    <row r="96" spans="1:22" s="78" customFormat="1" ht="13.5">
      <c r="A96" s="74" t="s">
        <v>138</v>
      </c>
      <c r="B96" s="74"/>
      <c r="C96" s="39" t="s">
        <v>51</v>
      </c>
      <c r="D96" s="75"/>
      <c r="E96" s="76"/>
      <c r="F96" s="76"/>
      <c r="G96" s="76"/>
      <c r="H96" s="76"/>
      <c r="I96" s="76"/>
      <c r="J96" s="77"/>
      <c r="K96" s="77"/>
      <c r="L96" s="71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spans="1:22" s="78" customFormat="1" ht="13.5">
      <c r="A97" s="74" t="s">
        <v>139</v>
      </c>
      <c r="B97" s="74"/>
      <c r="C97" s="39" t="s">
        <v>53</v>
      </c>
      <c r="D97" s="75"/>
      <c r="E97" s="76"/>
      <c r="F97" s="76"/>
      <c r="G97" s="76"/>
      <c r="H97" s="76"/>
      <c r="I97" s="76"/>
      <c r="J97" s="77"/>
      <c r="K97" s="77"/>
      <c r="L97" s="71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spans="1:22" s="78" customFormat="1" ht="13.5">
      <c r="A98" s="74" t="s">
        <v>140</v>
      </c>
      <c r="B98" s="74"/>
      <c r="C98" s="39" t="s">
        <v>55</v>
      </c>
      <c r="D98" s="75"/>
      <c r="E98" s="76"/>
      <c r="F98" s="76"/>
      <c r="G98" s="76"/>
      <c r="H98" s="76"/>
      <c r="I98" s="76"/>
      <c r="J98" s="77"/>
      <c r="K98" s="77"/>
      <c r="L98" s="71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1:22" s="78" customFormat="1" ht="13.5">
      <c r="A99" s="74" t="s">
        <v>141</v>
      </c>
      <c r="B99" s="74"/>
      <c r="C99" s="60" t="s">
        <v>57</v>
      </c>
      <c r="D99" s="75"/>
      <c r="E99" s="76"/>
      <c r="F99" s="76"/>
      <c r="G99" s="76"/>
      <c r="H99" s="76"/>
      <c r="I99" s="76"/>
      <c r="J99" s="77"/>
      <c r="K99" s="77"/>
      <c r="L99" s="71"/>
      <c r="M99" s="72"/>
      <c r="N99" s="72"/>
      <c r="O99" s="72"/>
      <c r="P99" s="72"/>
      <c r="Q99" s="72"/>
      <c r="R99" s="72"/>
      <c r="S99" s="72"/>
      <c r="T99" s="72"/>
      <c r="U99" s="72"/>
      <c r="V99" s="72"/>
    </row>
    <row r="100" spans="1:22" s="78" customFormat="1" ht="13.5">
      <c r="A100" s="74" t="s">
        <v>142</v>
      </c>
      <c r="B100" s="74"/>
      <c r="C100" s="39" t="s">
        <v>59</v>
      </c>
      <c r="D100" s="75"/>
      <c r="E100" s="76"/>
      <c r="F100" s="76"/>
      <c r="G100" s="76"/>
      <c r="H100" s="76"/>
      <c r="I100" s="76"/>
      <c r="J100" s="77"/>
      <c r="K100" s="77"/>
      <c r="L100" s="71"/>
      <c r="M100" s="72"/>
      <c r="N100" s="72"/>
      <c r="O100" s="72"/>
      <c r="P100" s="72"/>
      <c r="Q100" s="72"/>
      <c r="R100" s="72"/>
      <c r="S100" s="72"/>
      <c r="T100" s="72"/>
      <c r="U100" s="72"/>
      <c r="V100" s="72"/>
    </row>
    <row r="101" spans="1:22" s="78" customFormat="1" ht="13.5">
      <c r="A101" s="74" t="s">
        <v>143</v>
      </c>
      <c r="B101" s="74"/>
      <c r="C101" s="39" t="s">
        <v>61</v>
      </c>
      <c r="D101" s="75"/>
      <c r="E101" s="76"/>
      <c r="F101" s="76"/>
      <c r="G101" s="76"/>
      <c r="H101" s="76"/>
      <c r="I101" s="76"/>
      <c r="J101" s="77"/>
      <c r="K101" s="77"/>
      <c r="L101" s="71"/>
      <c r="M101" s="72"/>
      <c r="N101" s="72"/>
      <c r="O101" s="72"/>
      <c r="P101" s="72"/>
      <c r="Q101" s="72"/>
      <c r="R101" s="72"/>
      <c r="S101" s="72"/>
      <c r="T101" s="72"/>
      <c r="U101" s="72"/>
      <c r="V101" s="72"/>
    </row>
    <row r="102" spans="1:22" s="78" customFormat="1" ht="13.5">
      <c r="A102" s="74" t="s">
        <v>144</v>
      </c>
      <c r="B102" s="74"/>
      <c r="C102" s="39" t="s">
        <v>63</v>
      </c>
      <c r="D102" s="75"/>
      <c r="E102" s="76"/>
      <c r="F102" s="76"/>
      <c r="G102" s="76"/>
      <c r="H102" s="76"/>
      <c r="I102" s="76"/>
      <c r="J102" s="77"/>
      <c r="K102" s="77"/>
      <c r="L102" s="71"/>
      <c r="M102" s="72"/>
      <c r="N102" s="72"/>
      <c r="O102" s="72"/>
      <c r="P102" s="72"/>
      <c r="Q102" s="72"/>
      <c r="R102" s="72"/>
      <c r="S102" s="72"/>
      <c r="T102" s="72"/>
      <c r="U102" s="72"/>
      <c r="V102" s="72"/>
    </row>
    <row r="103" spans="1:22" s="73" customFormat="1" ht="13.5">
      <c r="A103" s="79" t="s">
        <v>145</v>
      </c>
      <c r="B103" s="79"/>
      <c r="C103" s="79"/>
      <c r="D103" s="79"/>
      <c r="E103" s="79"/>
      <c r="F103" s="79"/>
      <c r="G103" s="79"/>
      <c r="H103" s="79"/>
      <c r="I103" s="79"/>
      <c r="J103" s="84"/>
      <c r="K103" s="84"/>
      <c r="L103" s="80"/>
      <c r="M103" s="72"/>
      <c r="N103" s="72"/>
      <c r="O103" s="72"/>
      <c r="P103" s="72"/>
      <c r="Q103" s="72"/>
      <c r="R103" s="72"/>
      <c r="S103" s="72"/>
      <c r="T103" s="72"/>
      <c r="U103" s="72"/>
      <c r="V103" s="72"/>
    </row>
    <row r="104" spans="1:20" s="42" customFormat="1" ht="13.5">
      <c r="A104" s="37" t="s">
        <v>146</v>
      </c>
      <c r="B104" s="55" t="s">
        <v>147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68"/>
      <c r="M104" s="36"/>
      <c r="N104" s="36"/>
      <c r="O104" s="36"/>
      <c r="P104" s="36"/>
      <c r="Q104" s="36"/>
      <c r="R104" s="36"/>
      <c r="S104" s="36"/>
      <c r="T104" s="36"/>
    </row>
    <row r="105" spans="1:20" s="91" customFormat="1" ht="14.25">
      <c r="A105" s="86" t="s">
        <v>148</v>
      </c>
      <c r="B105" s="86"/>
      <c r="C105" s="39" t="s">
        <v>45</v>
      </c>
      <c r="D105" s="87"/>
      <c r="E105" s="88"/>
      <c r="F105" s="89"/>
      <c r="G105" s="83"/>
      <c r="H105" s="89"/>
      <c r="I105" s="83"/>
      <c r="J105" s="83"/>
      <c r="K105" s="83"/>
      <c r="L105" s="90"/>
      <c r="M105" s="90"/>
      <c r="N105" s="90"/>
      <c r="O105" s="90"/>
      <c r="P105" s="90"/>
      <c r="Q105" s="90"/>
      <c r="R105" s="90"/>
      <c r="S105" s="90"/>
      <c r="T105" s="90"/>
    </row>
    <row r="106" spans="1:20" s="91" customFormat="1" ht="14.25">
      <c r="A106" s="86" t="s">
        <v>149</v>
      </c>
      <c r="B106" s="86"/>
      <c r="C106" s="39" t="s">
        <v>47</v>
      </c>
      <c r="D106" s="87"/>
      <c r="E106" s="88"/>
      <c r="F106" s="89"/>
      <c r="G106" s="83"/>
      <c r="H106" s="89"/>
      <c r="I106" s="83"/>
      <c r="J106" s="83"/>
      <c r="K106" s="83"/>
      <c r="L106" s="90"/>
      <c r="M106" s="90"/>
      <c r="N106" s="90"/>
      <c r="O106" s="90"/>
      <c r="P106" s="90"/>
      <c r="Q106" s="90"/>
      <c r="R106" s="90"/>
      <c r="S106" s="90"/>
      <c r="T106" s="90"/>
    </row>
    <row r="107" spans="1:20" s="91" customFormat="1" ht="14.25">
      <c r="A107" s="86" t="s">
        <v>150</v>
      </c>
      <c r="B107" s="86"/>
      <c r="C107" s="39" t="s">
        <v>49</v>
      </c>
      <c r="D107" s="87"/>
      <c r="E107" s="88"/>
      <c r="F107" s="89"/>
      <c r="G107" s="83"/>
      <c r="H107" s="89"/>
      <c r="I107" s="83"/>
      <c r="J107" s="83"/>
      <c r="K107" s="83"/>
      <c r="L107" s="90"/>
      <c r="M107" s="90"/>
      <c r="N107" s="90"/>
      <c r="O107" s="90"/>
      <c r="P107" s="90"/>
      <c r="Q107" s="90"/>
      <c r="R107" s="90"/>
      <c r="S107" s="90"/>
      <c r="T107" s="90"/>
    </row>
    <row r="108" spans="1:20" s="91" customFormat="1" ht="14.25">
      <c r="A108" s="86" t="s">
        <v>151</v>
      </c>
      <c r="B108" s="86"/>
      <c r="C108" s="39" t="s">
        <v>51</v>
      </c>
      <c r="D108" s="87"/>
      <c r="E108" s="88"/>
      <c r="F108" s="89"/>
      <c r="G108" s="83"/>
      <c r="H108" s="89"/>
      <c r="I108" s="83"/>
      <c r="J108" s="83"/>
      <c r="K108" s="83"/>
      <c r="L108" s="90"/>
      <c r="M108" s="90"/>
      <c r="N108" s="90"/>
      <c r="O108" s="90"/>
      <c r="P108" s="90"/>
      <c r="Q108" s="90"/>
      <c r="R108" s="90"/>
      <c r="S108" s="90"/>
      <c r="T108" s="90"/>
    </row>
    <row r="109" spans="1:20" s="91" customFormat="1" ht="14.25">
      <c r="A109" s="86" t="s">
        <v>152</v>
      </c>
      <c r="B109" s="86"/>
      <c r="C109" s="39" t="s">
        <v>53</v>
      </c>
      <c r="D109" s="87"/>
      <c r="E109" s="88"/>
      <c r="F109" s="89"/>
      <c r="G109" s="83"/>
      <c r="H109" s="89"/>
      <c r="I109" s="83"/>
      <c r="J109" s="83"/>
      <c r="K109" s="83"/>
      <c r="L109" s="90"/>
      <c r="M109" s="90"/>
      <c r="N109" s="90"/>
      <c r="O109" s="90"/>
      <c r="P109" s="90"/>
      <c r="Q109" s="90"/>
      <c r="R109" s="90"/>
      <c r="S109" s="90"/>
      <c r="T109" s="90"/>
    </row>
    <row r="110" spans="1:20" s="91" customFormat="1" ht="14.25">
      <c r="A110" s="86" t="s">
        <v>153</v>
      </c>
      <c r="B110" s="86"/>
      <c r="C110" s="39" t="s">
        <v>55</v>
      </c>
      <c r="D110" s="87"/>
      <c r="E110" s="88"/>
      <c r="F110" s="89"/>
      <c r="G110" s="83"/>
      <c r="H110" s="89"/>
      <c r="I110" s="83"/>
      <c r="J110" s="83"/>
      <c r="K110" s="83"/>
      <c r="L110" s="90"/>
      <c r="M110" s="90"/>
      <c r="N110" s="90"/>
      <c r="O110" s="90"/>
      <c r="P110" s="90"/>
      <c r="Q110" s="90"/>
      <c r="R110" s="90"/>
      <c r="S110" s="90"/>
      <c r="T110" s="90"/>
    </row>
    <row r="111" spans="1:20" s="91" customFormat="1" ht="14.25">
      <c r="A111" s="86" t="s">
        <v>154</v>
      </c>
      <c r="B111" s="86"/>
      <c r="C111" s="60" t="s">
        <v>57</v>
      </c>
      <c r="D111" s="87"/>
      <c r="E111" s="88"/>
      <c r="F111" s="89"/>
      <c r="G111" s="83"/>
      <c r="H111" s="89"/>
      <c r="I111" s="83"/>
      <c r="J111" s="83"/>
      <c r="K111" s="83"/>
      <c r="L111" s="90"/>
      <c r="M111" s="90"/>
      <c r="N111" s="90"/>
      <c r="O111" s="90"/>
      <c r="P111" s="90"/>
      <c r="Q111" s="90"/>
      <c r="R111" s="90"/>
      <c r="S111" s="90"/>
      <c r="T111" s="90"/>
    </row>
    <row r="112" spans="1:20" s="91" customFormat="1" ht="14.25">
      <c r="A112" s="86" t="s">
        <v>155</v>
      </c>
      <c r="B112" s="86"/>
      <c r="C112" s="39" t="s">
        <v>59</v>
      </c>
      <c r="D112" s="87"/>
      <c r="E112" s="88"/>
      <c r="F112" s="89"/>
      <c r="G112" s="83"/>
      <c r="H112" s="89"/>
      <c r="I112" s="83"/>
      <c r="J112" s="83"/>
      <c r="K112" s="83"/>
      <c r="L112" s="90"/>
      <c r="M112" s="90"/>
      <c r="N112" s="90"/>
      <c r="O112" s="90"/>
      <c r="P112" s="90"/>
      <c r="Q112" s="90"/>
      <c r="R112" s="90"/>
      <c r="S112" s="90"/>
      <c r="T112" s="90"/>
    </row>
    <row r="113" spans="1:20" s="91" customFormat="1" ht="14.25">
      <c r="A113" s="86" t="s">
        <v>156</v>
      </c>
      <c r="B113" s="86"/>
      <c r="C113" s="39" t="s">
        <v>61</v>
      </c>
      <c r="D113" s="87"/>
      <c r="E113" s="88"/>
      <c r="F113" s="89"/>
      <c r="G113" s="83"/>
      <c r="H113" s="89"/>
      <c r="I113" s="83"/>
      <c r="J113" s="83"/>
      <c r="K113" s="83"/>
      <c r="L113" s="90"/>
      <c r="M113" s="90"/>
      <c r="N113" s="90"/>
      <c r="O113" s="90"/>
      <c r="P113" s="90"/>
      <c r="Q113" s="90"/>
      <c r="R113" s="90"/>
      <c r="S113" s="90"/>
      <c r="T113" s="90"/>
    </row>
    <row r="114" spans="1:20" s="42" customFormat="1" ht="13.5">
      <c r="A114" s="86" t="s">
        <v>157</v>
      </c>
      <c r="B114" s="37"/>
      <c r="C114" s="39" t="s">
        <v>63</v>
      </c>
      <c r="D114" s="92"/>
      <c r="E114" s="93"/>
      <c r="F114" s="44"/>
      <c r="G114" s="41"/>
      <c r="H114" s="44"/>
      <c r="I114" s="41"/>
      <c r="J114" s="41"/>
      <c r="K114" s="41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ht="13.5">
      <c r="A115" s="67" t="s">
        <v>158</v>
      </c>
      <c r="B115" s="67"/>
      <c r="C115" s="67"/>
      <c r="D115" s="67"/>
      <c r="E115" s="67"/>
      <c r="F115" s="67"/>
      <c r="G115" s="67"/>
      <c r="H115" s="67"/>
      <c r="I115" s="67"/>
      <c r="J115" s="84"/>
      <c r="K115" s="94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s="42" customFormat="1" ht="13.5">
      <c r="A116" s="34" t="s">
        <v>159</v>
      </c>
      <c r="B116" s="95" t="s">
        <v>160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s="42" customFormat="1" ht="13.5">
      <c r="A117" s="37" t="s">
        <v>161</v>
      </c>
      <c r="B117" s="37"/>
      <c r="C117" s="39" t="s">
        <v>45</v>
      </c>
      <c r="D117" s="96"/>
      <c r="E117" s="97"/>
      <c r="F117" s="41"/>
      <c r="G117" s="41"/>
      <c r="H117" s="41"/>
      <c r="I117" s="41"/>
      <c r="J117" s="41"/>
      <c r="K117" s="41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s="42" customFormat="1" ht="13.5">
      <c r="A118" s="37" t="s">
        <v>162</v>
      </c>
      <c r="B118" s="37"/>
      <c r="C118" s="39" t="s">
        <v>47</v>
      </c>
      <c r="D118" s="96"/>
      <c r="E118" s="97"/>
      <c r="F118" s="41"/>
      <c r="G118" s="41"/>
      <c r="H118" s="41"/>
      <c r="I118" s="41"/>
      <c r="J118" s="41"/>
      <c r="K118" s="41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s="42" customFormat="1" ht="13.5">
      <c r="A119" s="37" t="s">
        <v>163</v>
      </c>
      <c r="B119" s="37"/>
      <c r="C119" s="39" t="s">
        <v>49</v>
      </c>
      <c r="D119" s="96"/>
      <c r="E119" s="97"/>
      <c r="F119" s="41"/>
      <c r="G119" s="41"/>
      <c r="H119" s="41"/>
      <c r="I119" s="41"/>
      <c r="J119" s="41"/>
      <c r="K119" s="41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s="42" customFormat="1" ht="13.5">
      <c r="A120" s="37" t="s">
        <v>164</v>
      </c>
      <c r="B120" s="37"/>
      <c r="C120" s="39" t="s">
        <v>51</v>
      </c>
      <c r="D120" s="96"/>
      <c r="E120" s="97"/>
      <c r="F120" s="41"/>
      <c r="G120" s="41"/>
      <c r="H120" s="41"/>
      <c r="I120" s="41"/>
      <c r="J120" s="41"/>
      <c r="K120" s="41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s="42" customFormat="1" ht="13.5">
      <c r="A121" s="37" t="s">
        <v>165</v>
      </c>
      <c r="B121" s="37"/>
      <c r="C121" s="39" t="s">
        <v>53</v>
      </c>
      <c r="D121" s="96"/>
      <c r="E121" s="97"/>
      <c r="F121" s="41"/>
      <c r="G121" s="41"/>
      <c r="H121" s="41"/>
      <c r="I121" s="41"/>
      <c r="J121" s="41"/>
      <c r="K121" s="41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s="42" customFormat="1" ht="13.5">
      <c r="A122" s="37" t="s">
        <v>166</v>
      </c>
      <c r="B122" s="37"/>
      <c r="C122" s="39" t="s">
        <v>55</v>
      </c>
      <c r="D122" s="96"/>
      <c r="E122" s="97"/>
      <c r="F122" s="41"/>
      <c r="G122" s="41"/>
      <c r="H122" s="41"/>
      <c r="I122" s="41"/>
      <c r="J122" s="41"/>
      <c r="K122" s="41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s="42" customFormat="1" ht="13.5">
      <c r="A123" s="37" t="s">
        <v>167</v>
      </c>
      <c r="B123" s="37"/>
      <c r="C123" s="60" t="s">
        <v>57</v>
      </c>
      <c r="D123" s="96"/>
      <c r="E123" s="97"/>
      <c r="F123" s="41"/>
      <c r="G123" s="41"/>
      <c r="H123" s="41"/>
      <c r="I123" s="41"/>
      <c r="J123" s="41"/>
      <c r="K123" s="41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s="42" customFormat="1" ht="13.5">
      <c r="A124" s="37" t="s">
        <v>168</v>
      </c>
      <c r="B124" s="37"/>
      <c r="C124" s="39" t="s">
        <v>59</v>
      </c>
      <c r="D124" s="96"/>
      <c r="E124" s="97"/>
      <c r="F124" s="41"/>
      <c r="G124" s="41"/>
      <c r="H124" s="41"/>
      <c r="I124" s="98"/>
      <c r="J124" s="41"/>
      <c r="K124" s="41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s="42" customFormat="1" ht="13.5">
      <c r="A125" s="37" t="s">
        <v>169</v>
      </c>
      <c r="B125" s="37"/>
      <c r="C125" s="39" t="s">
        <v>61</v>
      </c>
      <c r="D125" s="96"/>
      <c r="E125" s="97"/>
      <c r="F125" s="41"/>
      <c r="G125" s="41"/>
      <c r="H125" s="41"/>
      <c r="I125" s="98"/>
      <c r="J125" s="41"/>
      <c r="K125" s="41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s="42" customFormat="1" ht="13.5">
      <c r="A126" s="37" t="s">
        <v>170</v>
      </c>
      <c r="B126" s="37"/>
      <c r="C126" s="39" t="s">
        <v>63</v>
      </c>
      <c r="D126" s="96"/>
      <c r="E126" s="97"/>
      <c r="F126" s="99"/>
      <c r="G126" s="41"/>
      <c r="H126" s="99"/>
      <c r="I126" s="98"/>
      <c r="J126" s="41"/>
      <c r="K126" s="41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s="42" customFormat="1" ht="13.5">
      <c r="A127" s="100" t="s">
        <v>171</v>
      </c>
      <c r="B127" s="100"/>
      <c r="C127" s="100"/>
      <c r="D127" s="100"/>
      <c r="E127" s="100"/>
      <c r="F127" s="100"/>
      <c r="G127" s="100"/>
      <c r="H127" s="100"/>
      <c r="I127" s="100"/>
      <c r="J127" s="101"/>
      <c r="K127" s="101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s="42" customFormat="1" ht="13.5">
      <c r="A128" s="34" t="s">
        <v>172</v>
      </c>
      <c r="B128" s="102" t="s">
        <v>173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s="42" customFormat="1" ht="13.5">
      <c r="A129" s="37" t="s">
        <v>174</v>
      </c>
      <c r="B129" s="37"/>
      <c r="C129" s="39" t="s">
        <v>45</v>
      </c>
      <c r="D129" s="40"/>
      <c r="E129" s="41"/>
      <c r="F129" s="41"/>
      <c r="G129" s="41"/>
      <c r="H129" s="41"/>
      <c r="I129" s="41"/>
      <c r="J129" s="41"/>
      <c r="K129" s="41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s="42" customFormat="1" ht="13.5">
      <c r="A130" s="37" t="s">
        <v>175</v>
      </c>
      <c r="B130" s="37"/>
      <c r="C130" s="39" t="s">
        <v>47</v>
      </c>
      <c r="D130" s="40"/>
      <c r="E130" s="41"/>
      <c r="F130" s="41"/>
      <c r="G130" s="41"/>
      <c r="H130" s="41"/>
      <c r="I130" s="41"/>
      <c r="J130" s="41"/>
      <c r="K130" s="41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s="42" customFormat="1" ht="13.5">
      <c r="A131" s="37" t="s">
        <v>176</v>
      </c>
      <c r="B131" s="37"/>
      <c r="C131" s="39" t="s">
        <v>49</v>
      </c>
      <c r="D131" s="40"/>
      <c r="E131" s="41"/>
      <c r="F131" s="41"/>
      <c r="G131" s="41"/>
      <c r="H131" s="41"/>
      <c r="I131" s="41"/>
      <c r="J131" s="41"/>
      <c r="K131" s="41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s="42" customFormat="1" ht="13.5">
      <c r="A132" s="37" t="s">
        <v>177</v>
      </c>
      <c r="B132" s="37"/>
      <c r="C132" s="39" t="s">
        <v>51</v>
      </c>
      <c r="D132" s="40"/>
      <c r="E132" s="41"/>
      <c r="F132" s="41"/>
      <c r="G132" s="41"/>
      <c r="H132" s="41"/>
      <c r="I132" s="41"/>
      <c r="J132" s="41"/>
      <c r="K132" s="41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s="42" customFormat="1" ht="13.5">
      <c r="A133" s="37" t="s">
        <v>178</v>
      </c>
      <c r="B133" s="37"/>
      <c r="C133" s="39" t="s">
        <v>53</v>
      </c>
      <c r="D133" s="40"/>
      <c r="E133" s="41"/>
      <c r="F133" s="41"/>
      <c r="G133" s="41"/>
      <c r="H133" s="41"/>
      <c r="I133" s="41"/>
      <c r="J133" s="41"/>
      <c r="K133" s="41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s="42" customFormat="1" ht="13.5">
      <c r="A134" s="37" t="s">
        <v>179</v>
      </c>
      <c r="B134" s="37"/>
      <c r="C134" s="39" t="s">
        <v>55</v>
      </c>
      <c r="D134" s="40"/>
      <c r="E134" s="41"/>
      <c r="F134" s="41"/>
      <c r="G134" s="41"/>
      <c r="H134" s="41"/>
      <c r="I134" s="41"/>
      <c r="J134" s="41"/>
      <c r="K134" s="41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s="42" customFormat="1" ht="13.5">
      <c r="A135" s="37" t="s">
        <v>180</v>
      </c>
      <c r="B135" s="37"/>
      <c r="C135" s="60" t="s">
        <v>57</v>
      </c>
      <c r="D135" s="40"/>
      <c r="E135" s="41"/>
      <c r="F135" s="41"/>
      <c r="G135" s="41"/>
      <c r="H135" s="41"/>
      <c r="I135" s="41"/>
      <c r="J135" s="41"/>
      <c r="K135" s="41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s="42" customFormat="1" ht="13.5">
      <c r="A136" s="37" t="s">
        <v>181</v>
      </c>
      <c r="B136" s="37"/>
      <c r="C136" s="39" t="s">
        <v>59</v>
      </c>
      <c r="D136" s="40"/>
      <c r="E136" s="41"/>
      <c r="F136" s="41"/>
      <c r="G136" s="41"/>
      <c r="H136" s="41"/>
      <c r="I136" s="41"/>
      <c r="J136" s="41"/>
      <c r="K136" s="41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s="42" customFormat="1" ht="13.5">
      <c r="A137" s="37" t="s">
        <v>182</v>
      </c>
      <c r="B137" s="37"/>
      <c r="C137" s="39" t="s">
        <v>61</v>
      </c>
      <c r="D137" s="40"/>
      <c r="E137" s="41"/>
      <c r="F137" s="41"/>
      <c r="G137" s="41"/>
      <c r="H137" s="41"/>
      <c r="I137" s="41"/>
      <c r="J137" s="41"/>
      <c r="K137" s="41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s="42" customFormat="1" ht="13.5">
      <c r="A138" s="37" t="s">
        <v>183</v>
      </c>
      <c r="B138" s="37"/>
      <c r="C138" s="39" t="s">
        <v>63</v>
      </c>
      <c r="D138" s="40"/>
      <c r="E138" s="41"/>
      <c r="F138" s="41"/>
      <c r="G138" s="41"/>
      <c r="H138" s="41"/>
      <c r="I138" s="41"/>
      <c r="J138" s="41"/>
      <c r="K138" s="41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s="42" customFormat="1" ht="13.5">
      <c r="A139" s="37" t="s">
        <v>184</v>
      </c>
      <c r="B139" s="103" t="s">
        <v>185</v>
      </c>
      <c r="C139" s="60" t="s">
        <v>186</v>
      </c>
      <c r="D139" s="61"/>
      <c r="E139" s="62"/>
      <c r="F139" s="62"/>
      <c r="G139" s="62"/>
      <c r="H139" s="62"/>
      <c r="I139" s="62"/>
      <c r="J139" s="62"/>
      <c r="K139" s="62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11" s="107" customFormat="1" ht="10.5">
      <c r="A140" s="104" t="s">
        <v>187</v>
      </c>
      <c r="B140" s="104">
        <v>73610</v>
      </c>
      <c r="C140" s="105" t="s">
        <v>188</v>
      </c>
      <c r="D140" s="104" t="s">
        <v>189</v>
      </c>
      <c r="E140" s="106">
        <v>753</v>
      </c>
      <c r="F140" s="106"/>
      <c r="G140" s="106"/>
      <c r="H140" s="106"/>
      <c r="I140" s="106"/>
      <c r="J140" s="106"/>
      <c r="K140" s="106"/>
    </row>
    <row r="141" spans="1:11" s="107" customFormat="1" ht="10.5">
      <c r="A141" s="104" t="s">
        <v>190</v>
      </c>
      <c r="B141" s="104"/>
      <c r="C141" s="105" t="s">
        <v>191</v>
      </c>
      <c r="D141" s="104" t="s">
        <v>192</v>
      </c>
      <c r="E141" s="106">
        <v>8</v>
      </c>
      <c r="F141" s="106"/>
      <c r="G141" s="106"/>
      <c r="H141" s="106"/>
      <c r="I141" s="106"/>
      <c r="J141" s="106"/>
      <c r="K141" s="106"/>
    </row>
    <row r="142" spans="1:11" s="107" customFormat="1" ht="10.5">
      <c r="A142" s="104" t="s">
        <v>193</v>
      </c>
      <c r="B142" s="104" t="s">
        <v>194</v>
      </c>
      <c r="C142" s="105" t="s">
        <v>195</v>
      </c>
      <c r="D142" s="104" t="s">
        <v>189</v>
      </c>
      <c r="E142" s="106">
        <v>100</v>
      </c>
      <c r="F142" s="106"/>
      <c r="G142" s="106"/>
      <c r="H142" s="106"/>
      <c r="I142" s="106"/>
      <c r="J142" s="106"/>
      <c r="K142" s="106"/>
    </row>
    <row r="143" spans="1:11" s="107" customFormat="1" ht="10.5">
      <c r="A143" s="104" t="s">
        <v>196</v>
      </c>
      <c r="B143" s="104" t="s">
        <v>197</v>
      </c>
      <c r="C143" s="105" t="s">
        <v>198</v>
      </c>
      <c r="D143" s="104" t="s">
        <v>189</v>
      </c>
      <c r="E143" s="106">
        <v>106</v>
      </c>
      <c r="F143" s="106"/>
      <c r="G143" s="106"/>
      <c r="H143" s="106"/>
      <c r="I143" s="106"/>
      <c r="J143" s="106"/>
      <c r="K143" s="106"/>
    </row>
    <row r="144" spans="1:11" s="107" customFormat="1" ht="10.5">
      <c r="A144" s="104" t="s">
        <v>199</v>
      </c>
      <c r="B144" s="104" t="s">
        <v>200</v>
      </c>
      <c r="C144" s="105" t="s">
        <v>201</v>
      </c>
      <c r="D144" s="104" t="s">
        <v>189</v>
      </c>
      <c r="E144" s="106">
        <v>372</v>
      </c>
      <c r="F144" s="106"/>
      <c r="G144" s="106"/>
      <c r="H144" s="106"/>
      <c r="I144" s="106"/>
      <c r="J144" s="106"/>
      <c r="K144" s="106"/>
    </row>
    <row r="145" spans="1:11" s="107" customFormat="1" ht="10.5">
      <c r="A145" s="104" t="s">
        <v>202</v>
      </c>
      <c r="B145" s="104" t="s">
        <v>203</v>
      </c>
      <c r="C145" s="105" t="s">
        <v>204</v>
      </c>
      <c r="D145" s="104" t="s">
        <v>189</v>
      </c>
      <c r="E145" s="106">
        <v>175</v>
      </c>
      <c r="F145" s="106"/>
      <c r="G145" s="106"/>
      <c r="H145" s="106"/>
      <c r="I145" s="106"/>
      <c r="J145" s="106"/>
      <c r="K145" s="106"/>
    </row>
    <row r="146" spans="1:11" s="107" customFormat="1" ht="10.5">
      <c r="A146" s="104" t="s">
        <v>205</v>
      </c>
      <c r="B146" s="104"/>
      <c r="C146" s="105" t="s">
        <v>206</v>
      </c>
      <c r="D146" s="104" t="s">
        <v>192</v>
      </c>
      <c r="E146" s="106">
        <v>1</v>
      </c>
      <c r="F146" s="108"/>
      <c r="G146" s="109"/>
      <c r="H146" s="106"/>
      <c r="I146" s="106"/>
      <c r="J146" s="106"/>
      <c r="K146" s="106"/>
    </row>
    <row r="147" spans="1:11" s="107" customFormat="1" ht="10.5">
      <c r="A147" s="104" t="s">
        <v>207</v>
      </c>
      <c r="B147" s="104"/>
      <c r="C147" s="105" t="s">
        <v>208</v>
      </c>
      <c r="D147" s="104" t="s">
        <v>192</v>
      </c>
      <c r="E147" s="106">
        <v>2</v>
      </c>
      <c r="F147" s="106"/>
      <c r="G147" s="106"/>
      <c r="H147" s="106"/>
      <c r="I147" s="106"/>
      <c r="J147" s="106"/>
      <c r="K147" s="106"/>
    </row>
    <row r="148" spans="1:11" s="107" customFormat="1" ht="10.5">
      <c r="A148" s="104" t="s">
        <v>209</v>
      </c>
      <c r="B148" s="104" t="s">
        <v>210</v>
      </c>
      <c r="C148" s="105" t="s">
        <v>211</v>
      </c>
      <c r="D148" s="104" t="s">
        <v>192</v>
      </c>
      <c r="E148" s="106">
        <v>3</v>
      </c>
      <c r="F148" s="106"/>
      <c r="G148" s="106"/>
      <c r="H148" s="106"/>
      <c r="I148" s="106"/>
      <c r="J148" s="106"/>
      <c r="K148" s="106"/>
    </row>
    <row r="149" spans="1:11" s="107" customFormat="1" ht="10.5">
      <c r="A149" s="104" t="s">
        <v>212</v>
      </c>
      <c r="B149" s="104" t="s">
        <v>213</v>
      </c>
      <c r="C149" s="105" t="s">
        <v>214</v>
      </c>
      <c r="D149" s="104" t="s">
        <v>192</v>
      </c>
      <c r="E149" s="106">
        <v>1</v>
      </c>
      <c r="F149" s="106"/>
      <c r="G149" s="106"/>
      <c r="H149" s="106"/>
      <c r="I149" s="106"/>
      <c r="J149" s="106"/>
      <c r="K149" s="106"/>
    </row>
    <row r="150" spans="1:13" s="107" customFormat="1" ht="10.5">
      <c r="A150" s="104" t="s">
        <v>215</v>
      </c>
      <c r="B150" s="104" t="s">
        <v>216</v>
      </c>
      <c r="C150" s="105" t="s">
        <v>217</v>
      </c>
      <c r="D150" s="104" t="s">
        <v>192</v>
      </c>
      <c r="E150" s="106">
        <v>2</v>
      </c>
      <c r="F150" s="106"/>
      <c r="G150" s="106"/>
      <c r="H150" s="106"/>
      <c r="I150" s="106"/>
      <c r="J150" s="106"/>
      <c r="K150" s="106"/>
      <c r="M150" s="110"/>
    </row>
    <row r="151" spans="1:11" s="107" customFormat="1" ht="10.5">
      <c r="A151" s="104" t="s">
        <v>218</v>
      </c>
      <c r="B151" s="104"/>
      <c r="C151" s="105" t="s">
        <v>219</v>
      </c>
      <c r="D151" s="104" t="s">
        <v>192</v>
      </c>
      <c r="E151" s="106">
        <v>1</v>
      </c>
      <c r="F151" s="106"/>
      <c r="G151" s="106"/>
      <c r="H151" s="106"/>
      <c r="I151" s="106"/>
      <c r="J151" s="106"/>
      <c r="K151" s="106"/>
    </row>
    <row r="152" spans="1:13" s="107" customFormat="1" ht="10.5">
      <c r="A152" s="104" t="s">
        <v>220</v>
      </c>
      <c r="B152" s="104"/>
      <c r="C152" s="105" t="s">
        <v>221</v>
      </c>
      <c r="D152" s="104" t="s">
        <v>192</v>
      </c>
      <c r="E152" s="106">
        <v>1</v>
      </c>
      <c r="F152" s="106"/>
      <c r="G152" s="106"/>
      <c r="H152" s="106"/>
      <c r="I152" s="106"/>
      <c r="J152" s="106"/>
      <c r="K152" s="106"/>
      <c r="M152" s="110"/>
    </row>
    <row r="153" spans="1:11" s="107" customFormat="1" ht="10.5">
      <c r="A153" s="104" t="s">
        <v>222</v>
      </c>
      <c r="B153" s="104"/>
      <c r="C153" s="105" t="s">
        <v>223</v>
      </c>
      <c r="D153" s="104" t="s">
        <v>192</v>
      </c>
      <c r="E153" s="106">
        <v>2</v>
      </c>
      <c r="F153" s="106"/>
      <c r="G153" s="106"/>
      <c r="H153" s="106"/>
      <c r="I153" s="106"/>
      <c r="J153" s="106"/>
      <c r="K153" s="106"/>
    </row>
    <row r="154" spans="1:11" s="107" customFormat="1" ht="10.5">
      <c r="A154" s="104" t="s">
        <v>224</v>
      </c>
      <c r="B154" s="104"/>
      <c r="C154" s="111" t="s">
        <v>225</v>
      </c>
      <c r="D154" s="112" t="s">
        <v>189</v>
      </c>
      <c r="E154" s="109">
        <v>1100</v>
      </c>
      <c r="F154" s="108"/>
      <c r="G154" s="109"/>
      <c r="H154" s="106"/>
      <c r="I154" s="106"/>
      <c r="J154" s="106"/>
      <c r="K154" s="106"/>
    </row>
    <row r="155" spans="1:20" s="42" customFormat="1" ht="13.5">
      <c r="A155" s="37" t="s">
        <v>226</v>
      </c>
      <c r="B155" s="103" t="s">
        <v>185</v>
      </c>
      <c r="C155" s="60" t="s">
        <v>227</v>
      </c>
      <c r="D155" s="61"/>
      <c r="E155" s="62"/>
      <c r="F155" s="62"/>
      <c r="G155" s="62"/>
      <c r="H155" s="62"/>
      <c r="I155" s="62"/>
      <c r="J155" s="62"/>
      <c r="K155" s="62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11" s="114" customFormat="1" ht="13.5">
      <c r="A156" s="104" t="s">
        <v>228</v>
      </c>
      <c r="B156" s="104">
        <v>73610</v>
      </c>
      <c r="C156" s="105" t="s">
        <v>188</v>
      </c>
      <c r="D156" s="104" t="s">
        <v>189</v>
      </c>
      <c r="E156" s="106">
        <v>1045</v>
      </c>
      <c r="F156" s="113"/>
      <c r="G156" s="113"/>
      <c r="H156" s="113"/>
      <c r="I156" s="113"/>
      <c r="J156" s="113"/>
      <c r="K156" s="113"/>
    </row>
    <row r="157" spans="1:11" s="114" customFormat="1" ht="13.5">
      <c r="A157" s="104" t="s">
        <v>229</v>
      </c>
      <c r="B157" s="104" t="s">
        <v>200</v>
      </c>
      <c r="C157" s="105" t="s">
        <v>201</v>
      </c>
      <c r="D157" s="104" t="s">
        <v>189</v>
      </c>
      <c r="E157" s="106">
        <v>1045</v>
      </c>
      <c r="F157" s="113"/>
      <c r="G157" s="113"/>
      <c r="H157" s="113"/>
      <c r="I157" s="113"/>
      <c r="J157" s="113"/>
      <c r="K157" s="113"/>
    </row>
    <row r="158" spans="1:11" s="114" customFormat="1" ht="13.5">
      <c r="A158" s="104" t="s">
        <v>230</v>
      </c>
      <c r="B158" s="104"/>
      <c r="C158" s="105" t="s">
        <v>208</v>
      </c>
      <c r="D158" s="104" t="s">
        <v>192</v>
      </c>
      <c r="E158" s="106">
        <v>2</v>
      </c>
      <c r="F158" s="113"/>
      <c r="G158" s="113"/>
      <c r="H158" s="113"/>
      <c r="I158" s="113"/>
      <c r="J158" s="113"/>
      <c r="K158" s="113"/>
    </row>
    <row r="159" spans="1:11" s="114" customFormat="1" ht="13.5">
      <c r="A159" s="104" t="s">
        <v>231</v>
      </c>
      <c r="B159" s="104" t="s">
        <v>210</v>
      </c>
      <c r="C159" s="105" t="s">
        <v>211</v>
      </c>
      <c r="D159" s="104" t="s">
        <v>192</v>
      </c>
      <c r="E159" s="106">
        <v>2</v>
      </c>
      <c r="F159" s="113"/>
      <c r="G159" s="113"/>
      <c r="H159" s="113"/>
      <c r="I159" s="113"/>
      <c r="J159" s="113"/>
      <c r="K159" s="113"/>
    </row>
    <row r="160" spans="1:11" s="114" customFormat="1" ht="13.5">
      <c r="A160" s="104" t="s">
        <v>232</v>
      </c>
      <c r="B160" s="104"/>
      <c r="C160" s="105" t="s">
        <v>233</v>
      </c>
      <c r="D160" s="104" t="s">
        <v>192</v>
      </c>
      <c r="E160" s="106">
        <v>8</v>
      </c>
      <c r="F160" s="113"/>
      <c r="G160" s="113"/>
      <c r="H160" s="113"/>
      <c r="I160" s="113"/>
      <c r="J160" s="113"/>
      <c r="K160" s="113"/>
    </row>
    <row r="161" spans="1:11" s="114" customFormat="1" ht="13.5">
      <c r="A161" s="104" t="s">
        <v>234</v>
      </c>
      <c r="B161" s="104"/>
      <c r="C161" s="111" t="s">
        <v>235</v>
      </c>
      <c r="D161" s="104" t="s">
        <v>192</v>
      </c>
      <c r="E161" s="106">
        <v>1</v>
      </c>
      <c r="F161" s="115"/>
      <c r="G161" s="116"/>
      <c r="H161" s="113"/>
      <c r="I161" s="113"/>
      <c r="J161" s="113"/>
      <c r="K161" s="113"/>
    </row>
    <row r="162" spans="1:20" s="42" customFormat="1" ht="13.5">
      <c r="A162" s="37" t="s">
        <v>236</v>
      </c>
      <c r="B162" s="103" t="s">
        <v>185</v>
      </c>
      <c r="C162" s="60" t="s">
        <v>237</v>
      </c>
      <c r="D162" s="61"/>
      <c r="E162" s="62"/>
      <c r="F162" s="62"/>
      <c r="G162" s="62"/>
      <c r="H162" s="62"/>
      <c r="I162" s="62"/>
      <c r="J162" s="62"/>
      <c r="K162" s="62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11" s="114" customFormat="1" ht="13.5">
      <c r="A163" s="117" t="s">
        <v>238</v>
      </c>
      <c r="B163" s="104">
        <v>73610</v>
      </c>
      <c r="C163" s="105" t="s">
        <v>239</v>
      </c>
      <c r="D163" s="104" t="s">
        <v>189</v>
      </c>
      <c r="E163" s="106">
        <v>405</v>
      </c>
      <c r="F163" s="113"/>
      <c r="G163" s="113"/>
      <c r="H163" s="113"/>
      <c r="I163" s="113"/>
      <c r="J163" s="113"/>
      <c r="K163" s="113"/>
    </row>
    <row r="164" spans="1:11" s="114" customFormat="1" ht="13.5">
      <c r="A164" s="117" t="s">
        <v>240</v>
      </c>
      <c r="B164" s="104"/>
      <c r="C164" s="105" t="s">
        <v>241</v>
      </c>
      <c r="D164" s="104" t="s">
        <v>192</v>
      </c>
      <c r="E164" s="106">
        <v>15</v>
      </c>
      <c r="F164" s="113"/>
      <c r="G164" s="113"/>
      <c r="H164" s="113"/>
      <c r="I164" s="113"/>
      <c r="J164" s="113"/>
      <c r="K164" s="113"/>
    </row>
    <row r="165" spans="1:11" s="114" customFormat="1" ht="13.5">
      <c r="A165" s="117" t="s">
        <v>242</v>
      </c>
      <c r="B165" s="104" t="s">
        <v>243</v>
      </c>
      <c r="C165" s="105" t="s">
        <v>244</v>
      </c>
      <c r="D165" s="104" t="s">
        <v>192</v>
      </c>
      <c r="E165" s="106">
        <v>2</v>
      </c>
      <c r="F165" s="113"/>
      <c r="G165" s="113"/>
      <c r="H165" s="113"/>
      <c r="I165" s="113"/>
      <c r="J165" s="113"/>
      <c r="K165" s="113"/>
    </row>
    <row r="166" spans="1:11" s="114" customFormat="1" ht="13.5">
      <c r="A166" s="117" t="s">
        <v>245</v>
      </c>
      <c r="B166" s="104" t="s">
        <v>194</v>
      </c>
      <c r="C166" s="105" t="s">
        <v>246</v>
      </c>
      <c r="D166" s="104" t="s">
        <v>189</v>
      </c>
      <c r="E166" s="106">
        <v>405</v>
      </c>
      <c r="F166" s="113"/>
      <c r="G166" s="113"/>
      <c r="H166" s="113"/>
      <c r="I166" s="113"/>
      <c r="J166" s="113"/>
      <c r="K166" s="113"/>
    </row>
    <row r="167" spans="1:11" s="114" customFormat="1" ht="13.5">
      <c r="A167" s="117" t="s">
        <v>247</v>
      </c>
      <c r="B167" s="104"/>
      <c r="C167" s="105" t="s">
        <v>248</v>
      </c>
      <c r="D167" s="104" t="s">
        <v>192</v>
      </c>
      <c r="E167" s="106">
        <v>1</v>
      </c>
      <c r="F167" s="113"/>
      <c r="G167" s="113"/>
      <c r="H167" s="113"/>
      <c r="I167" s="113"/>
      <c r="J167" s="113"/>
      <c r="K167" s="113"/>
    </row>
    <row r="168" spans="1:11" s="114" customFormat="1" ht="13.5">
      <c r="A168" s="117" t="s">
        <v>249</v>
      </c>
      <c r="B168" s="104"/>
      <c r="C168" s="105" t="s">
        <v>250</v>
      </c>
      <c r="D168" s="104" t="s">
        <v>192</v>
      </c>
      <c r="E168" s="106">
        <v>1</v>
      </c>
      <c r="F168" s="113"/>
      <c r="G168" s="113"/>
      <c r="H168" s="113"/>
      <c r="I168" s="113"/>
      <c r="J168" s="113"/>
      <c r="K168" s="113"/>
    </row>
    <row r="169" spans="1:11" s="114" customFormat="1" ht="13.5">
      <c r="A169" s="117" t="s">
        <v>251</v>
      </c>
      <c r="B169" s="104"/>
      <c r="C169" s="105" t="s">
        <v>252</v>
      </c>
      <c r="D169" s="104" t="s">
        <v>192</v>
      </c>
      <c r="E169" s="106">
        <v>1</v>
      </c>
      <c r="F169" s="113"/>
      <c r="G169" s="113"/>
      <c r="H169" s="113"/>
      <c r="I169" s="113"/>
      <c r="J169" s="113"/>
      <c r="K169" s="113"/>
    </row>
    <row r="170" spans="1:11" s="114" customFormat="1" ht="13.5">
      <c r="A170" s="117" t="s">
        <v>253</v>
      </c>
      <c r="B170" s="104"/>
      <c r="C170" s="105" t="s">
        <v>254</v>
      </c>
      <c r="D170" s="104" t="s">
        <v>192</v>
      </c>
      <c r="E170" s="106">
        <v>1</v>
      </c>
      <c r="F170" s="113"/>
      <c r="G170" s="113"/>
      <c r="H170" s="113"/>
      <c r="I170" s="113"/>
      <c r="J170" s="113"/>
      <c r="K170" s="113"/>
    </row>
    <row r="171" spans="1:11" s="114" customFormat="1" ht="13.5">
      <c r="A171" s="117" t="s">
        <v>255</v>
      </c>
      <c r="B171" s="104"/>
      <c r="C171" s="105" t="s">
        <v>256</v>
      </c>
      <c r="D171" s="104" t="s">
        <v>192</v>
      </c>
      <c r="E171" s="106">
        <v>1</v>
      </c>
      <c r="F171" s="113"/>
      <c r="G171" s="113"/>
      <c r="H171" s="113"/>
      <c r="I171" s="113"/>
      <c r="J171" s="113"/>
      <c r="K171" s="113"/>
    </row>
    <row r="172" spans="1:11" s="114" customFormat="1" ht="13.5">
      <c r="A172" s="117" t="s">
        <v>257</v>
      </c>
      <c r="B172" s="104"/>
      <c r="C172" s="105" t="s">
        <v>258</v>
      </c>
      <c r="D172" s="104" t="s">
        <v>192</v>
      </c>
      <c r="E172" s="106">
        <v>1</v>
      </c>
      <c r="F172" s="113"/>
      <c r="G172" s="113"/>
      <c r="H172" s="113"/>
      <c r="I172" s="113"/>
      <c r="J172" s="113"/>
      <c r="K172" s="113"/>
    </row>
    <row r="173" spans="1:11" s="114" customFormat="1" ht="13.5">
      <c r="A173" s="117" t="s">
        <v>259</v>
      </c>
      <c r="B173" s="104"/>
      <c r="C173" s="105" t="s">
        <v>260</v>
      </c>
      <c r="D173" s="104" t="s">
        <v>192</v>
      </c>
      <c r="E173" s="106">
        <v>6</v>
      </c>
      <c r="F173" s="113"/>
      <c r="G173" s="113"/>
      <c r="H173" s="113"/>
      <c r="I173" s="113"/>
      <c r="J173" s="113"/>
      <c r="K173" s="113"/>
    </row>
    <row r="174" spans="1:11" s="114" customFormat="1" ht="13.5">
      <c r="A174" s="117" t="s">
        <v>261</v>
      </c>
      <c r="B174" s="104"/>
      <c r="C174" s="105" t="s">
        <v>221</v>
      </c>
      <c r="D174" s="104" t="s">
        <v>192</v>
      </c>
      <c r="E174" s="106">
        <v>2</v>
      </c>
      <c r="F174" s="113"/>
      <c r="G174" s="113"/>
      <c r="H174" s="113"/>
      <c r="I174" s="113"/>
      <c r="J174" s="113"/>
      <c r="K174" s="113"/>
    </row>
    <row r="175" spans="1:11" s="114" customFormat="1" ht="13.5">
      <c r="A175" s="117" t="s">
        <v>262</v>
      </c>
      <c r="B175" s="104"/>
      <c r="C175" s="105" t="s">
        <v>263</v>
      </c>
      <c r="D175" s="104" t="s">
        <v>192</v>
      </c>
      <c r="E175" s="106">
        <v>2</v>
      </c>
      <c r="F175" s="113"/>
      <c r="G175" s="113"/>
      <c r="H175" s="113"/>
      <c r="I175" s="113"/>
      <c r="J175" s="113"/>
      <c r="K175" s="113"/>
    </row>
    <row r="176" spans="1:11" s="114" customFormat="1" ht="13.5">
      <c r="A176" s="117" t="s">
        <v>264</v>
      </c>
      <c r="B176" s="104"/>
      <c r="C176" s="105" t="s">
        <v>265</v>
      </c>
      <c r="D176" s="104" t="s">
        <v>192</v>
      </c>
      <c r="E176" s="106">
        <v>2</v>
      </c>
      <c r="F176" s="113"/>
      <c r="G176" s="113"/>
      <c r="H176" s="113"/>
      <c r="I176" s="113"/>
      <c r="J176" s="113"/>
      <c r="K176" s="113"/>
    </row>
    <row r="177" spans="1:11" s="114" customFormat="1" ht="13.5">
      <c r="A177" s="117" t="s">
        <v>266</v>
      </c>
      <c r="B177" s="104"/>
      <c r="C177" s="105" t="s">
        <v>267</v>
      </c>
      <c r="D177" s="104" t="s">
        <v>192</v>
      </c>
      <c r="E177" s="106">
        <v>1</v>
      </c>
      <c r="F177" s="113"/>
      <c r="G177" s="113"/>
      <c r="H177" s="113"/>
      <c r="I177" s="113"/>
      <c r="J177" s="113"/>
      <c r="K177" s="113"/>
    </row>
    <row r="178" spans="1:11" s="114" customFormat="1" ht="13.5">
      <c r="A178" s="117" t="s">
        <v>268</v>
      </c>
      <c r="B178" s="104"/>
      <c r="C178" s="105" t="s">
        <v>269</v>
      </c>
      <c r="D178" s="104" t="s">
        <v>192</v>
      </c>
      <c r="E178" s="106">
        <v>1</v>
      </c>
      <c r="F178" s="113"/>
      <c r="G178" s="113"/>
      <c r="H178" s="113"/>
      <c r="I178" s="113"/>
      <c r="J178" s="113"/>
      <c r="K178" s="113"/>
    </row>
    <row r="179" spans="1:11" s="114" customFormat="1" ht="13.5">
      <c r="A179" s="117" t="s">
        <v>270</v>
      </c>
      <c r="B179" s="104"/>
      <c r="C179" s="105" t="s">
        <v>271</v>
      </c>
      <c r="D179" s="104" t="s">
        <v>192</v>
      </c>
      <c r="E179" s="106">
        <v>1</v>
      </c>
      <c r="F179" s="113"/>
      <c r="G179" s="113"/>
      <c r="H179" s="113"/>
      <c r="I179" s="113"/>
      <c r="J179" s="113"/>
      <c r="K179" s="113"/>
    </row>
    <row r="180" spans="1:20" ht="13.5">
      <c r="A180" s="67" t="s">
        <v>272</v>
      </c>
      <c r="B180" s="67"/>
      <c r="C180" s="67"/>
      <c r="D180" s="67"/>
      <c r="E180" s="67"/>
      <c r="F180" s="67"/>
      <c r="G180" s="67"/>
      <c r="H180" s="67"/>
      <c r="I180" s="67"/>
      <c r="J180" s="84"/>
      <c r="K180" s="94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2" s="73" customFormat="1" ht="13.5">
      <c r="A181" s="69" t="s">
        <v>273</v>
      </c>
      <c r="B181" s="70" t="s">
        <v>274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1"/>
      <c r="M181" s="72"/>
      <c r="N181" s="72"/>
      <c r="O181" s="72"/>
      <c r="P181" s="72"/>
      <c r="Q181" s="72"/>
      <c r="R181" s="72"/>
      <c r="S181" s="72"/>
      <c r="T181" s="72"/>
      <c r="U181" s="72"/>
      <c r="V181" s="72"/>
    </row>
    <row r="182" spans="1:22" s="78" customFormat="1" ht="13.5">
      <c r="A182" s="74" t="s">
        <v>275</v>
      </c>
      <c r="B182" s="74"/>
      <c r="C182" s="39" t="s">
        <v>45</v>
      </c>
      <c r="D182" s="75"/>
      <c r="E182" s="76"/>
      <c r="F182" s="76"/>
      <c r="G182" s="76"/>
      <c r="H182" s="76"/>
      <c r="I182" s="76"/>
      <c r="J182" s="77"/>
      <c r="K182" s="77"/>
      <c r="L182" s="71"/>
      <c r="M182" s="72"/>
      <c r="N182" s="72"/>
      <c r="O182" s="72"/>
      <c r="P182" s="72"/>
      <c r="Q182" s="72"/>
      <c r="R182" s="72"/>
      <c r="S182" s="72"/>
      <c r="T182" s="72"/>
      <c r="U182" s="72"/>
      <c r="V182" s="72"/>
    </row>
    <row r="183" spans="1:22" s="78" customFormat="1" ht="13.5">
      <c r="A183" s="74" t="s">
        <v>276</v>
      </c>
      <c r="B183" s="74"/>
      <c r="C183" s="39" t="s">
        <v>47</v>
      </c>
      <c r="D183" s="75"/>
      <c r="E183" s="76"/>
      <c r="F183" s="76"/>
      <c r="G183" s="76"/>
      <c r="H183" s="76"/>
      <c r="I183" s="76"/>
      <c r="J183" s="77"/>
      <c r="K183" s="77"/>
      <c r="L183" s="71"/>
      <c r="M183" s="72"/>
      <c r="N183" s="72"/>
      <c r="O183" s="72"/>
      <c r="P183" s="72"/>
      <c r="Q183" s="72"/>
      <c r="R183" s="72"/>
      <c r="S183" s="72"/>
      <c r="T183" s="72"/>
      <c r="U183" s="72"/>
      <c r="V183" s="72"/>
    </row>
    <row r="184" spans="1:22" s="78" customFormat="1" ht="13.5">
      <c r="A184" s="74" t="s">
        <v>277</v>
      </c>
      <c r="B184" s="74"/>
      <c r="C184" s="39" t="s">
        <v>49</v>
      </c>
      <c r="D184" s="75"/>
      <c r="E184" s="76"/>
      <c r="F184" s="76"/>
      <c r="G184" s="76"/>
      <c r="H184" s="76"/>
      <c r="I184" s="76"/>
      <c r="J184" s="77"/>
      <c r="K184" s="77"/>
      <c r="L184" s="71"/>
      <c r="M184" s="72"/>
      <c r="N184" s="72"/>
      <c r="O184" s="72"/>
      <c r="P184" s="72"/>
      <c r="Q184" s="72"/>
      <c r="R184" s="72"/>
      <c r="S184" s="72"/>
      <c r="T184" s="72"/>
      <c r="U184" s="72"/>
      <c r="V184" s="72"/>
    </row>
    <row r="185" spans="1:22" s="78" customFormat="1" ht="13.5">
      <c r="A185" s="74" t="s">
        <v>278</v>
      </c>
      <c r="B185" s="74"/>
      <c r="C185" s="39" t="s">
        <v>51</v>
      </c>
      <c r="D185" s="75"/>
      <c r="E185" s="76"/>
      <c r="F185" s="76"/>
      <c r="G185" s="76"/>
      <c r="H185" s="76"/>
      <c r="I185" s="76"/>
      <c r="J185" s="77"/>
      <c r="K185" s="77"/>
      <c r="L185" s="71"/>
      <c r="M185" s="72"/>
      <c r="N185" s="72"/>
      <c r="O185" s="72"/>
      <c r="P185" s="72"/>
      <c r="Q185" s="72"/>
      <c r="R185" s="72"/>
      <c r="S185" s="72"/>
      <c r="T185" s="72"/>
      <c r="U185" s="72"/>
      <c r="V185" s="72"/>
    </row>
    <row r="186" spans="1:22" s="78" customFormat="1" ht="13.5">
      <c r="A186" s="74" t="s">
        <v>279</v>
      </c>
      <c r="B186" s="74"/>
      <c r="C186" s="39" t="s">
        <v>53</v>
      </c>
      <c r="D186" s="75"/>
      <c r="E186" s="76"/>
      <c r="F186" s="76"/>
      <c r="G186" s="76"/>
      <c r="H186" s="76"/>
      <c r="I186" s="76"/>
      <c r="J186" s="77"/>
      <c r="K186" s="77"/>
      <c r="L186" s="71"/>
      <c r="M186" s="72"/>
      <c r="N186" s="72"/>
      <c r="O186" s="72"/>
      <c r="P186" s="72"/>
      <c r="Q186" s="72"/>
      <c r="R186" s="72"/>
      <c r="S186" s="72"/>
      <c r="T186" s="72"/>
      <c r="U186" s="72"/>
      <c r="V186" s="72"/>
    </row>
    <row r="187" spans="1:22" s="78" customFormat="1" ht="13.5">
      <c r="A187" s="74" t="s">
        <v>280</v>
      </c>
      <c r="B187" s="74"/>
      <c r="C187" s="39" t="s">
        <v>55</v>
      </c>
      <c r="D187" s="75"/>
      <c r="E187" s="76"/>
      <c r="F187" s="76"/>
      <c r="G187" s="76"/>
      <c r="H187" s="76"/>
      <c r="I187" s="76"/>
      <c r="J187" s="77"/>
      <c r="K187" s="77"/>
      <c r="L187" s="71"/>
      <c r="M187" s="72"/>
      <c r="N187" s="72"/>
      <c r="O187" s="72"/>
      <c r="P187" s="72"/>
      <c r="Q187" s="72"/>
      <c r="R187" s="72"/>
      <c r="S187" s="72"/>
      <c r="T187" s="72"/>
      <c r="U187" s="72"/>
      <c r="V187" s="72"/>
    </row>
    <row r="188" spans="1:22" s="78" customFormat="1" ht="13.5">
      <c r="A188" s="74" t="s">
        <v>281</v>
      </c>
      <c r="B188" s="74"/>
      <c r="C188" s="60" t="s">
        <v>57</v>
      </c>
      <c r="D188" s="75"/>
      <c r="E188" s="76"/>
      <c r="F188" s="76"/>
      <c r="G188" s="76"/>
      <c r="H188" s="76"/>
      <c r="I188" s="76"/>
      <c r="J188" s="77"/>
      <c r="K188" s="77"/>
      <c r="L188" s="71"/>
      <c r="M188" s="72"/>
      <c r="N188" s="72"/>
      <c r="O188" s="72"/>
      <c r="P188" s="72"/>
      <c r="Q188" s="72"/>
      <c r="R188" s="72"/>
      <c r="S188" s="72"/>
      <c r="T188" s="72"/>
      <c r="U188" s="72"/>
      <c r="V188" s="72"/>
    </row>
    <row r="189" spans="1:22" s="78" customFormat="1" ht="13.5">
      <c r="A189" s="74" t="s">
        <v>282</v>
      </c>
      <c r="B189" s="74"/>
      <c r="C189" s="39" t="s">
        <v>59</v>
      </c>
      <c r="D189" s="75"/>
      <c r="E189" s="76"/>
      <c r="F189" s="76"/>
      <c r="G189" s="76"/>
      <c r="H189" s="76"/>
      <c r="I189" s="76"/>
      <c r="J189" s="77"/>
      <c r="K189" s="77"/>
      <c r="L189" s="71"/>
      <c r="M189" s="72"/>
      <c r="N189" s="72"/>
      <c r="O189" s="72"/>
      <c r="P189" s="72"/>
      <c r="Q189" s="72"/>
      <c r="R189" s="72"/>
      <c r="S189" s="72"/>
      <c r="T189" s="72"/>
      <c r="U189" s="72"/>
      <c r="V189" s="72"/>
    </row>
    <row r="190" spans="1:22" s="78" customFormat="1" ht="13.5">
      <c r="A190" s="74" t="s">
        <v>283</v>
      </c>
      <c r="B190" s="74"/>
      <c r="C190" s="39" t="s">
        <v>61</v>
      </c>
      <c r="D190" s="75"/>
      <c r="E190" s="76"/>
      <c r="F190" s="76"/>
      <c r="G190" s="76"/>
      <c r="H190" s="76"/>
      <c r="I190" s="76"/>
      <c r="J190" s="77"/>
      <c r="K190" s="77"/>
      <c r="L190" s="71"/>
      <c r="M190" s="72"/>
      <c r="N190" s="72"/>
      <c r="O190" s="72"/>
      <c r="P190" s="72"/>
      <c r="Q190" s="72"/>
      <c r="R190" s="72"/>
      <c r="S190" s="72"/>
      <c r="T190" s="72"/>
      <c r="U190" s="72"/>
      <c r="V190" s="72"/>
    </row>
    <row r="191" spans="1:22" s="78" customFormat="1" ht="13.5">
      <c r="A191" s="74" t="s">
        <v>284</v>
      </c>
      <c r="B191" s="74"/>
      <c r="C191" s="39" t="s">
        <v>63</v>
      </c>
      <c r="D191" s="75"/>
      <c r="E191" s="76"/>
      <c r="F191" s="76"/>
      <c r="G191" s="76"/>
      <c r="H191" s="76"/>
      <c r="I191" s="76"/>
      <c r="J191" s="77"/>
      <c r="K191" s="77"/>
      <c r="L191" s="71"/>
      <c r="M191" s="72"/>
      <c r="N191" s="72"/>
      <c r="O191" s="72"/>
      <c r="P191" s="72"/>
      <c r="Q191" s="72"/>
      <c r="R191" s="72"/>
      <c r="S191" s="72"/>
      <c r="T191" s="72"/>
      <c r="U191" s="72"/>
      <c r="V191" s="72"/>
    </row>
    <row r="192" spans="1:22" s="73" customFormat="1" ht="13.5">
      <c r="A192" s="79" t="s">
        <v>285</v>
      </c>
      <c r="B192" s="79"/>
      <c r="C192" s="79"/>
      <c r="D192" s="79"/>
      <c r="E192" s="79"/>
      <c r="F192" s="79"/>
      <c r="G192" s="79"/>
      <c r="H192" s="79"/>
      <c r="I192" s="79"/>
      <c r="J192" s="84"/>
      <c r="K192" s="84"/>
      <c r="L192" s="80"/>
      <c r="M192" s="72"/>
      <c r="N192" s="72"/>
      <c r="O192" s="72"/>
      <c r="P192" s="72"/>
      <c r="Q192" s="72"/>
      <c r="R192" s="72"/>
      <c r="S192" s="72"/>
      <c r="T192" s="72"/>
      <c r="U192" s="72"/>
      <c r="V192" s="72"/>
    </row>
    <row r="193" spans="1:20" ht="13.5">
      <c r="A193" s="34" t="s">
        <v>286</v>
      </c>
      <c r="B193" s="35" t="s">
        <v>287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s="42" customFormat="1" ht="13.5">
      <c r="A194" s="118" t="s">
        <v>288</v>
      </c>
      <c r="B194" s="118"/>
      <c r="C194" s="39" t="s">
        <v>45</v>
      </c>
      <c r="D194" s="75"/>
      <c r="E194" s="119"/>
      <c r="F194" s="119"/>
      <c r="G194" s="119"/>
      <c r="H194" s="119"/>
      <c r="I194" s="119"/>
      <c r="J194" s="41"/>
      <c r="K194" s="41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s="42" customFormat="1" ht="13.5">
      <c r="A195" s="118" t="s">
        <v>289</v>
      </c>
      <c r="B195" s="118"/>
      <c r="C195" s="39" t="s">
        <v>47</v>
      </c>
      <c r="D195" s="75"/>
      <c r="E195" s="119"/>
      <c r="F195" s="119"/>
      <c r="G195" s="119"/>
      <c r="H195" s="119"/>
      <c r="I195" s="119"/>
      <c r="J195" s="41"/>
      <c r="K195" s="41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s="42" customFormat="1" ht="13.5">
      <c r="A196" s="118" t="s">
        <v>290</v>
      </c>
      <c r="B196" s="118"/>
      <c r="C196" s="39" t="s">
        <v>49</v>
      </c>
      <c r="D196" s="75"/>
      <c r="E196" s="119"/>
      <c r="F196" s="119"/>
      <c r="G196" s="119"/>
      <c r="H196" s="119"/>
      <c r="I196" s="119"/>
      <c r="J196" s="41"/>
      <c r="K196" s="41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s="42" customFormat="1" ht="13.5">
      <c r="A197" s="118" t="s">
        <v>291</v>
      </c>
      <c r="B197" s="118"/>
      <c r="C197" s="39" t="s">
        <v>51</v>
      </c>
      <c r="D197" s="75"/>
      <c r="E197" s="119"/>
      <c r="F197" s="119"/>
      <c r="G197" s="119"/>
      <c r="H197" s="119"/>
      <c r="I197" s="119"/>
      <c r="J197" s="41"/>
      <c r="K197" s="41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s="42" customFormat="1" ht="13.5">
      <c r="A198" s="118" t="s">
        <v>292</v>
      </c>
      <c r="B198" s="118"/>
      <c r="C198" s="39" t="s">
        <v>53</v>
      </c>
      <c r="D198" s="75"/>
      <c r="E198" s="119"/>
      <c r="F198" s="119"/>
      <c r="G198" s="119"/>
      <c r="H198" s="119"/>
      <c r="I198" s="119"/>
      <c r="J198" s="41"/>
      <c r="K198" s="41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s="42" customFormat="1" ht="13.5">
      <c r="A199" s="118" t="s">
        <v>293</v>
      </c>
      <c r="B199" s="118"/>
      <c r="C199" s="39" t="s">
        <v>55</v>
      </c>
      <c r="D199" s="75"/>
      <c r="E199" s="119"/>
      <c r="F199" s="119"/>
      <c r="G199" s="119"/>
      <c r="H199" s="119"/>
      <c r="I199" s="119"/>
      <c r="J199" s="41"/>
      <c r="K199" s="41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s="42" customFormat="1" ht="13.5">
      <c r="A200" s="118" t="s">
        <v>294</v>
      </c>
      <c r="B200" s="118"/>
      <c r="C200" s="60" t="s">
        <v>57</v>
      </c>
      <c r="D200" s="75"/>
      <c r="E200" s="119"/>
      <c r="F200" s="119"/>
      <c r="G200" s="119"/>
      <c r="H200" s="119"/>
      <c r="I200" s="119"/>
      <c r="J200" s="41"/>
      <c r="K200" s="41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s="42" customFormat="1" ht="13.5">
      <c r="A201" s="118" t="s">
        <v>295</v>
      </c>
      <c r="B201" s="118"/>
      <c r="C201" s="39" t="s">
        <v>59</v>
      </c>
      <c r="D201" s="75"/>
      <c r="E201" s="119"/>
      <c r="F201" s="119"/>
      <c r="G201" s="119"/>
      <c r="H201" s="119"/>
      <c r="I201" s="119"/>
      <c r="J201" s="41"/>
      <c r="K201" s="41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s="42" customFormat="1" ht="13.5">
      <c r="A202" s="118" t="s">
        <v>296</v>
      </c>
      <c r="B202" s="118"/>
      <c r="C202" s="39" t="s">
        <v>61</v>
      </c>
      <c r="D202" s="75"/>
      <c r="E202" s="119"/>
      <c r="F202" s="119"/>
      <c r="G202" s="119"/>
      <c r="H202" s="119"/>
      <c r="I202" s="119"/>
      <c r="J202" s="41"/>
      <c r="K202" s="41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s="42" customFormat="1" ht="13.5">
      <c r="A203" s="118" t="s">
        <v>297</v>
      </c>
      <c r="B203" s="118"/>
      <c r="C203" s="39" t="s">
        <v>63</v>
      </c>
      <c r="D203" s="75"/>
      <c r="E203" s="119"/>
      <c r="F203" s="119"/>
      <c r="G203" s="119"/>
      <c r="H203" s="119"/>
      <c r="I203" s="119"/>
      <c r="J203" s="41"/>
      <c r="K203" s="41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11" ht="13.5">
      <c r="A204" s="67" t="s">
        <v>298</v>
      </c>
      <c r="B204" s="67"/>
      <c r="C204" s="67"/>
      <c r="D204" s="67"/>
      <c r="E204" s="67"/>
      <c r="F204" s="67"/>
      <c r="G204" s="67"/>
      <c r="H204" s="67"/>
      <c r="I204" s="67"/>
      <c r="J204" s="84"/>
      <c r="K204" s="94"/>
    </row>
    <row r="205" spans="1:20" ht="13.5">
      <c r="A205" s="34" t="s">
        <v>299</v>
      </c>
      <c r="B205" s="35" t="s">
        <v>300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s="42" customFormat="1" ht="13.5">
      <c r="A206" s="37" t="s">
        <v>301</v>
      </c>
      <c r="B206" s="120">
        <v>72195</v>
      </c>
      <c r="C206" s="44" t="s">
        <v>302</v>
      </c>
      <c r="D206" s="40" t="s">
        <v>23</v>
      </c>
      <c r="E206" s="41">
        <f>E247</f>
        <v>1245.346</v>
      </c>
      <c r="F206" s="41"/>
      <c r="G206" s="41"/>
      <c r="H206" s="41"/>
      <c r="I206" s="41"/>
      <c r="J206" s="41"/>
      <c r="K206" s="41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s="42" customFormat="1" ht="13.5">
      <c r="A207" s="37" t="s">
        <v>303</v>
      </c>
      <c r="B207" s="37"/>
      <c r="C207" s="39" t="s">
        <v>45</v>
      </c>
      <c r="D207" s="40"/>
      <c r="E207" s="41"/>
      <c r="F207" s="41"/>
      <c r="G207" s="41"/>
      <c r="H207" s="41"/>
      <c r="I207" s="41"/>
      <c r="J207" s="41"/>
      <c r="K207" s="41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s="42" customFormat="1" ht="13.5">
      <c r="A208" s="37" t="s">
        <v>304</v>
      </c>
      <c r="B208" s="37"/>
      <c r="C208" s="39" t="s">
        <v>47</v>
      </c>
      <c r="D208" s="40"/>
      <c r="E208" s="41"/>
      <c r="F208" s="41"/>
      <c r="G208" s="41"/>
      <c r="H208" s="41"/>
      <c r="I208" s="41"/>
      <c r="J208" s="41"/>
      <c r="K208" s="41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s="42" customFormat="1" ht="13.5">
      <c r="A209" s="37" t="s">
        <v>305</v>
      </c>
      <c r="B209" s="37"/>
      <c r="C209" s="39" t="s">
        <v>49</v>
      </c>
      <c r="D209" s="40"/>
      <c r="E209" s="41"/>
      <c r="F209" s="41"/>
      <c r="G209" s="41"/>
      <c r="H209" s="41"/>
      <c r="I209" s="41"/>
      <c r="J209" s="41"/>
      <c r="K209" s="41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s="42" customFormat="1" ht="13.5">
      <c r="A210" s="37" t="s">
        <v>306</v>
      </c>
      <c r="B210" s="37"/>
      <c r="C210" s="39" t="s">
        <v>51</v>
      </c>
      <c r="D210" s="40"/>
      <c r="E210" s="41"/>
      <c r="F210" s="41"/>
      <c r="G210" s="41"/>
      <c r="H210" s="41"/>
      <c r="I210" s="41"/>
      <c r="J210" s="41"/>
      <c r="K210" s="41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s="42" customFormat="1" ht="13.5">
      <c r="A211" s="37" t="s">
        <v>307</v>
      </c>
      <c r="B211" s="37"/>
      <c r="C211" s="39" t="s">
        <v>53</v>
      </c>
      <c r="D211" s="40"/>
      <c r="E211" s="41"/>
      <c r="F211" s="41"/>
      <c r="G211" s="41"/>
      <c r="H211" s="41"/>
      <c r="I211" s="41"/>
      <c r="J211" s="41"/>
      <c r="K211" s="41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s="42" customFormat="1" ht="13.5">
      <c r="A212" s="37" t="s">
        <v>308</v>
      </c>
      <c r="B212" s="37"/>
      <c r="C212" s="39" t="s">
        <v>55</v>
      </c>
      <c r="D212" s="40"/>
      <c r="E212" s="41"/>
      <c r="F212" s="41"/>
      <c r="G212" s="41"/>
      <c r="H212" s="41"/>
      <c r="I212" s="41"/>
      <c r="J212" s="41"/>
      <c r="K212" s="41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s="42" customFormat="1" ht="13.5">
      <c r="A213" s="37" t="s">
        <v>309</v>
      </c>
      <c r="B213" s="37"/>
      <c r="C213" s="60" t="s">
        <v>57</v>
      </c>
      <c r="D213" s="40"/>
      <c r="E213" s="41"/>
      <c r="F213" s="41"/>
      <c r="G213" s="41"/>
      <c r="H213" s="41"/>
      <c r="I213" s="41"/>
      <c r="J213" s="41"/>
      <c r="K213" s="41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s="42" customFormat="1" ht="13.5">
      <c r="A214" s="37" t="s">
        <v>310</v>
      </c>
      <c r="B214" s="37"/>
      <c r="C214" s="39" t="s">
        <v>59</v>
      </c>
      <c r="D214" s="40"/>
      <c r="E214" s="41"/>
      <c r="F214" s="41"/>
      <c r="G214" s="41"/>
      <c r="H214" s="41"/>
      <c r="I214" s="41"/>
      <c r="J214" s="41"/>
      <c r="K214" s="41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s="42" customFormat="1" ht="13.5">
      <c r="A215" s="37" t="s">
        <v>311</v>
      </c>
      <c r="B215" s="37"/>
      <c r="C215" s="39" t="s">
        <v>61</v>
      </c>
      <c r="D215" s="40"/>
      <c r="E215" s="41"/>
      <c r="F215" s="41"/>
      <c r="G215" s="41"/>
      <c r="H215" s="41"/>
      <c r="I215" s="41"/>
      <c r="J215" s="41"/>
      <c r="K215" s="41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s="42" customFormat="1" ht="13.5">
      <c r="A216" s="37" t="s">
        <v>312</v>
      </c>
      <c r="B216" s="37"/>
      <c r="C216" s="39" t="s">
        <v>63</v>
      </c>
      <c r="D216" s="40"/>
      <c r="E216" s="41"/>
      <c r="F216" s="41"/>
      <c r="G216" s="41"/>
      <c r="H216" s="41"/>
      <c r="I216" s="41"/>
      <c r="J216" s="41"/>
      <c r="K216" s="41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3.5">
      <c r="A217" s="67" t="s">
        <v>313</v>
      </c>
      <c r="B217" s="67"/>
      <c r="C217" s="67"/>
      <c r="D217" s="67"/>
      <c r="E217" s="67"/>
      <c r="F217" s="67"/>
      <c r="G217" s="67"/>
      <c r="H217" s="67"/>
      <c r="I217" s="67"/>
      <c r="J217" s="53"/>
      <c r="K217" s="53"/>
      <c r="L217" s="68"/>
      <c r="M217" s="36"/>
      <c r="N217" s="36"/>
      <c r="O217" s="36"/>
      <c r="P217" s="36"/>
      <c r="Q217" s="36"/>
      <c r="R217" s="36"/>
      <c r="S217" s="36"/>
      <c r="T217" s="36"/>
    </row>
    <row r="218" spans="1:21" s="73" customFormat="1" ht="13.5">
      <c r="A218" s="69" t="s">
        <v>314</v>
      </c>
      <c r="B218" s="85" t="s">
        <v>315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71"/>
      <c r="M218" s="72"/>
      <c r="N218" s="72"/>
      <c r="O218" s="72"/>
      <c r="P218" s="72"/>
      <c r="Q218" s="72"/>
      <c r="R218" s="72"/>
      <c r="S218" s="72"/>
      <c r="T218" s="72"/>
      <c r="U218" s="72"/>
    </row>
    <row r="219" spans="1:21" s="78" customFormat="1" ht="13.5">
      <c r="A219" s="74" t="s">
        <v>316</v>
      </c>
      <c r="B219" s="121"/>
      <c r="C219" s="39" t="s">
        <v>45</v>
      </c>
      <c r="D219" s="75"/>
      <c r="E219" s="76"/>
      <c r="F219" s="76"/>
      <c r="G219" s="76"/>
      <c r="H219" s="76"/>
      <c r="I219" s="76"/>
      <c r="J219" s="77"/>
      <c r="K219" s="77"/>
      <c r="L219" s="71"/>
      <c r="M219" s="72"/>
      <c r="N219" s="72"/>
      <c r="O219" s="72"/>
      <c r="P219" s="72"/>
      <c r="Q219" s="72"/>
      <c r="R219" s="72"/>
      <c r="S219" s="72"/>
      <c r="T219" s="72"/>
      <c r="U219" s="72"/>
    </row>
    <row r="220" spans="1:21" s="78" customFormat="1" ht="13.5">
      <c r="A220" s="74" t="s">
        <v>317</v>
      </c>
      <c r="B220" s="121"/>
      <c r="C220" s="39" t="s">
        <v>47</v>
      </c>
      <c r="D220" s="75"/>
      <c r="E220" s="76"/>
      <c r="F220" s="76"/>
      <c r="G220" s="76"/>
      <c r="H220" s="76"/>
      <c r="I220" s="76"/>
      <c r="J220" s="77"/>
      <c r="K220" s="77"/>
      <c r="L220" s="71"/>
      <c r="M220" s="72"/>
      <c r="N220" s="72"/>
      <c r="O220" s="72"/>
      <c r="P220" s="72"/>
      <c r="Q220" s="72"/>
      <c r="R220" s="72"/>
      <c r="S220" s="72"/>
      <c r="T220" s="72"/>
      <c r="U220" s="72"/>
    </row>
    <row r="221" spans="1:21" s="78" customFormat="1" ht="13.5">
      <c r="A221" s="74" t="s">
        <v>318</v>
      </c>
      <c r="B221" s="121"/>
      <c r="C221" s="39" t="s">
        <v>49</v>
      </c>
      <c r="D221" s="75"/>
      <c r="E221" s="76"/>
      <c r="F221" s="76"/>
      <c r="G221" s="76"/>
      <c r="H221" s="76"/>
      <c r="I221" s="76"/>
      <c r="J221" s="77"/>
      <c r="K221" s="77"/>
      <c r="L221" s="71"/>
      <c r="M221" s="72"/>
      <c r="N221" s="72"/>
      <c r="O221" s="72"/>
      <c r="P221" s="72"/>
      <c r="Q221" s="72"/>
      <c r="R221" s="72"/>
      <c r="S221" s="72"/>
      <c r="T221" s="72"/>
      <c r="U221" s="72"/>
    </row>
    <row r="222" spans="1:21" s="78" customFormat="1" ht="13.5">
      <c r="A222" s="74" t="s">
        <v>319</v>
      </c>
      <c r="B222" s="121"/>
      <c r="C222" s="39" t="s">
        <v>51</v>
      </c>
      <c r="D222" s="75"/>
      <c r="E222" s="76"/>
      <c r="F222" s="76"/>
      <c r="G222" s="76"/>
      <c r="H222" s="76"/>
      <c r="I222" s="76"/>
      <c r="J222" s="77"/>
      <c r="K222" s="77"/>
      <c r="L222" s="71"/>
      <c r="M222" s="72"/>
      <c r="N222" s="72"/>
      <c r="O222" s="72"/>
      <c r="P222" s="72"/>
      <c r="Q222" s="72"/>
      <c r="R222" s="72"/>
      <c r="S222" s="72"/>
      <c r="T222" s="72"/>
      <c r="U222" s="72"/>
    </row>
    <row r="223" spans="1:21" s="78" customFormat="1" ht="13.5">
      <c r="A223" s="74" t="s">
        <v>320</v>
      </c>
      <c r="B223" s="121"/>
      <c r="C223" s="39" t="s">
        <v>53</v>
      </c>
      <c r="D223" s="75"/>
      <c r="E223" s="76"/>
      <c r="F223" s="76"/>
      <c r="G223" s="76"/>
      <c r="H223" s="76"/>
      <c r="I223" s="76"/>
      <c r="J223" s="77"/>
      <c r="K223" s="77"/>
      <c r="L223" s="71"/>
      <c r="M223" s="72"/>
      <c r="N223" s="72"/>
      <c r="O223" s="72"/>
      <c r="P223" s="72"/>
      <c r="Q223" s="72"/>
      <c r="R223" s="72"/>
      <c r="S223" s="72"/>
      <c r="T223" s="72"/>
      <c r="U223" s="72"/>
    </row>
    <row r="224" spans="1:21" s="78" customFormat="1" ht="13.5">
      <c r="A224" s="74" t="s">
        <v>321</v>
      </c>
      <c r="B224" s="121"/>
      <c r="C224" s="39" t="s">
        <v>55</v>
      </c>
      <c r="D224" s="75"/>
      <c r="E224" s="76"/>
      <c r="F224" s="76"/>
      <c r="G224" s="76"/>
      <c r="H224" s="76"/>
      <c r="I224" s="76"/>
      <c r="J224" s="77"/>
      <c r="K224" s="77"/>
      <c r="L224" s="71"/>
      <c r="M224" s="72"/>
      <c r="N224" s="72"/>
      <c r="O224" s="72"/>
      <c r="P224" s="72"/>
      <c r="Q224" s="72"/>
      <c r="R224" s="72"/>
      <c r="S224" s="72"/>
      <c r="T224" s="72"/>
      <c r="U224" s="72"/>
    </row>
    <row r="225" spans="1:21" s="78" customFormat="1" ht="13.5">
      <c r="A225" s="74" t="s">
        <v>322</v>
      </c>
      <c r="B225" s="121"/>
      <c r="C225" s="60" t="s">
        <v>57</v>
      </c>
      <c r="D225" s="75"/>
      <c r="E225" s="76"/>
      <c r="F225" s="76"/>
      <c r="G225" s="76"/>
      <c r="H225" s="76"/>
      <c r="I225" s="76"/>
      <c r="J225" s="77"/>
      <c r="K225" s="77"/>
      <c r="L225" s="71"/>
      <c r="M225" s="72"/>
      <c r="N225" s="72"/>
      <c r="O225" s="72"/>
      <c r="P225" s="72"/>
      <c r="Q225" s="72"/>
      <c r="R225" s="72"/>
      <c r="S225" s="72"/>
      <c r="T225" s="72"/>
      <c r="U225" s="72"/>
    </row>
    <row r="226" spans="1:21" s="78" customFormat="1" ht="13.5">
      <c r="A226" s="74" t="s">
        <v>323</v>
      </c>
      <c r="B226" s="121"/>
      <c r="C226" s="39" t="s">
        <v>59</v>
      </c>
      <c r="D226" s="75"/>
      <c r="E226" s="76"/>
      <c r="F226" s="76"/>
      <c r="G226" s="76"/>
      <c r="H226" s="76"/>
      <c r="I226" s="76"/>
      <c r="J226" s="77"/>
      <c r="K226" s="77"/>
      <c r="L226" s="71"/>
      <c r="M226" s="72"/>
      <c r="N226" s="72"/>
      <c r="O226" s="72"/>
      <c r="P226" s="72"/>
      <c r="Q226" s="72"/>
      <c r="R226" s="72"/>
      <c r="S226" s="72"/>
      <c r="T226" s="72"/>
      <c r="U226" s="72"/>
    </row>
    <row r="227" spans="1:21" s="78" customFormat="1" ht="13.5">
      <c r="A227" s="74" t="s">
        <v>324</v>
      </c>
      <c r="B227" s="121"/>
      <c r="C227" s="39" t="s">
        <v>61</v>
      </c>
      <c r="D227" s="75"/>
      <c r="E227" s="76"/>
      <c r="F227" s="76"/>
      <c r="G227" s="76"/>
      <c r="H227" s="76"/>
      <c r="I227" s="76"/>
      <c r="J227" s="77"/>
      <c r="K227" s="77"/>
      <c r="L227" s="71"/>
      <c r="M227" s="72"/>
      <c r="N227" s="72"/>
      <c r="O227" s="72"/>
      <c r="P227" s="72"/>
      <c r="Q227" s="72"/>
      <c r="R227" s="72"/>
      <c r="S227" s="72"/>
      <c r="T227" s="72"/>
      <c r="U227" s="72"/>
    </row>
    <row r="228" spans="1:21" s="78" customFormat="1" ht="13.5">
      <c r="A228" s="74" t="s">
        <v>325</v>
      </c>
      <c r="B228" s="121"/>
      <c r="C228" s="39" t="s">
        <v>63</v>
      </c>
      <c r="D228" s="75"/>
      <c r="E228" s="76"/>
      <c r="F228" s="76"/>
      <c r="G228" s="76"/>
      <c r="H228" s="76"/>
      <c r="I228" s="76"/>
      <c r="J228" s="77"/>
      <c r="K228" s="77"/>
      <c r="L228" s="71"/>
      <c r="M228" s="72"/>
      <c r="N228" s="72"/>
      <c r="O228" s="72"/>
      <c r="P228" s="72"/>
      <c r="Q228" s="72"/>
      <c r="R228" s="72"/>
      <c r="S228" s="72"/>
      <c r="T228" s="72"/>
      <c r="U228" s="72"/>
    </row>
    <row r="229" spans="1:21" s="73" customFormat="1" ht="13.5">
      <c r="A229" s="122" t="s">
        <v>326</v>
      </c>
      <c r="B229" s="122"/>
      <c r="C229" s="122"/>
      <c r="D229" s="122"/>
      <c r="E229" s="122"/>
      <c r="F229" s="122"/>
      <c r="G229" s="122"/>
      <c r="H229" s="122"/>
      <c r="I229" s="122"/>
      <c r="J229" s="53"/>
      <c r="K229" s="53"/>
      <c r="L229" s="80"/>
      <c r="M229" s="72"/>
      <c r="N229" s="72"/>
      <c r="O229" s="72"/>
      <c r="P229" s="72"/>
      <c r="Q229" s="72"/>
      <c r="R229" s="72"/>
      <c r="S229" s="72"/>
      <c r="T229" s="72"/>
      <c r="U229" s="72"/>
    </row>
    <row r="230" spans="1:20" s="42" customFormat="1" ht="13.5">
      <c r="A230" s="34" t="s">
        <v>327</v>
      </c>
      <c r="B230" s="123" t="s">
        <v>328</v>
      </c>
      <c r="C230" s="123"/>
      <c r="D230" s="123"/>
      <c r="E230" s="123"/>
      <c r="F230" s="123"/>
      <c r="G230" s="123"/>
      <c r="H230" s="123"/>
      <c r="I230" s="123"/>
      <c r="J230" s="123"/>
      <c r="K230" s="123"/>
      <c r="L230" s="68"/>
      <c r="M230" s="36"/>
      <c r="N230" s="36"/>
      <c r="O230" s="36"/>
      <c r="P230" s="36"/>
      <c r="Q230" s="36"/>
      <c r="R230" s="36"/>
      <c r="S230" s="36"/>
      <c r="T230" s="36"/>
    </row>
    <row r="231" spans="1:20" s="42" customFormat="1" ht="13.5">
      <c r="A231" s="34" t="s">
        <v>329</v>
      </c>
      <c r="B231" s="37"/>
      <c r="C231" s="39" t="s">
        <v>45</v>
      </c>
      <c r="D231" s="40"/>
      <c r="E231" s="41"/>
      <c r="F231" s="41"/>
      <c r="G231" s="41"/>
      <c r="H231" s="41"/>
      <c r="I231" s="41"/>
      <c r="J231" s="41"/>
      <c r="K231" s="41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s="42" customFormat="1" ht="13.5">
      <c r="A232" s="34" t="s">
        <v>330</v>
      </c>
      <c r="B232" s="37"/>
      <c r="C232" s="39" t="s">
        <v>47</v>
      </c>
      <c r="D232" s="40"/>
      <c r="E232" s="41"/>
      <c r="F232" s="41"/>
      <c r="G232" s="41"/>
      <c r="H232" s="41"/>
      <c r="I232" s="41"/>
      <c r="J232" s="41"/>
      <c r="K232" s="41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s="42" customFormat="1" ht="13.5">
      <c r="A233" s="34" t="s">
        <v>331</v>
      </c>
      <c r="B233" s="37"/>
      <c r="C233" s="39" t="s">
        <v>49</v>
      </c>
      <c r="D233" s="40"/>
      <c r="E233" s="41"/>
      <c r="F233" s="41"/>
      <c r="G233" s="41"/>
      <c r="H233" s="41"/>
      <c r="I233" s="41"/>
      <c r="J233" s="41"/>
      <c r="K233" s="41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s="42" customFormat="1" ht="13.5">
      <c r="A234" s="34" t="s">
        <v>332</v>
      </c>
      <c r="B234" s="37"/>
      <c r="C234" s="39" t="s">
        <v>51</v>
      </c>
      <c r="D234" s="40"/>
      <c r="E234" s="41"/>
      <c r="F234" s="41"/>
      <c r="G234" s="41"/>
      <c r="H234" s="41"/>
      <c r="I234" s="41"/>
      <c r="J234" s="41"/>
      <c r="K234" s="41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s="42" customFormat="1" ht="13.5">
      <c r="A235" s="34" t="s">
        <v>333</v>
      </c>
      <c r="B235" s="37"/>
      <c r="C235" s="39" t="s">
        <v>53</v>
      </c>
      <c r="D235" s="40"/>
      <c r="E235" s="41"/>
      <c r="F235" s="41"/>
      <c r="G235" s="41"/>
      <c r="H235" s="41"/>
      <c r="I235" s="41"/>
      <c r="J235" s="41"/>
      <c r="K235" s="41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s="42" customFormat="1" ht="13.5">
      <c r="A236" s="34" t="s">
        <v>334</v>
      </c>
      <c r="B236" s="37"/>
      <c r="C236" s="39" t="s">
        <v>55</v>
      </c>
      <c r="D236" s="40"/>
      <c r="E236" s="41"/>
      <c r="F236" s="41"/>
      <c r="G236" s="41"/>
      <c r="H236" s="41"/>
      <c r="I236" s="41"/>
      <c r="J236" s="41"/>
      <c r="K236" s="41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s="42" customFormat="1" ht="13.5">
      <c r="A237" s="34" t="s">
        <v>335</v>
      </c>
      <c r="B237" s="37"/>
      <c r="C237" s="60" t="s">
        <v>57</v>
      </c>
      <c r="D237" s="40"/>
      <c r="E237" s="41"/>
      <c r="F237" s="41"/>
      <c r="G237" s="41"/>
      <c r="H237" s="41"/>
      <c r="I237" s="41"/>
      <c r="J237" s="41"/>
      <c r="K237" s="41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s="42" customFormat="1" ht="13.5">
      <c r="A238" s="34" t="s">
        <v>336</v>
      </c>
      <c r="B238" s="37"/>
      <c r="C238" s="39" t="s">
        <v>59</v>
      </c>
      <c r="D238" s="40"/>
      <c r="E238" s="41"/>
      <c r="F238" s="41"/>
      <c r="G238" s="41"/>
      <c r="H238" s="41"/>
      <c r="I238" s="41"/>
      <c r="J238" s="41"/>
      <c r="K238" s="41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s="42" customFormat="1" ht="13.5">
      <c r="A239" s="34" t="s">
        <v>337</v>
      </c>
      <c r="B239" s="37"/>
      <c r="C239" s="39" t="s">
        <v>61</v>
      </c>
      <c r="D239" s="40"/>
      <c r="E239" s="41"/>
      <c r="F239" s="41"/>
      <c r="G239" s="41"/>
      <c r="H239" s="41"/>
      <c r="I239" s="41"/>
      <c r="J239" s="41"/>
      <c r="K239" s="41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s="42" customFormat="1" ht="13.5">
      <c r="A240" s="34" t="s">
        <v>338</v>
      </c>
      <c r="B240" s="37"/>
      <c r="C240" s="39" t="s">
        <v>63</v>
      </c>
      <c r="D240" s="40"/>
      <c r="E240" s="41"/>
      <c r="F240" s="41"/>
      <c r="G240" s="41"/>
      <c r="H240" s="41"/>
      <c r="I240" s="41"/>
      <c r="J240" s="41"/>
      <c r="K240" s="41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s="42" customFormat="1" ht="13.5">
      <c r="A241" s="67" t="s">
        <v>339</v>
      </c>
      <c r="B241" s="67"/>
      <c r="C241" s="67"/>
      <c r="D241" s="67"/>
      <c r="E241" s="67"/>
      <c r="F241" s="67"/>
      <c r="G241" s="67"/>
      <c r="H241" s="67"/>
      <c r="I241" s="67"/>
      <c r="J241" s="84"/>
      <c r="K241" s="84"/>
      <c r="L241" s="68"/>
      <c r="M241" s="36"/>
      <c r="N241" s="36"/>
      <c r="O241" s="36"/>
      <c r="P241" s="36"/>
      <c r="Q241" s="36"/>
      <c r="R241" s="36"/>
      <c r="S241" s="36"/>
      <c r="T241" s="36"/>
    </row>
    <row r="242" spans="1:22" s="73" customFormat="1" ht="13.5">
      <c r="A242" s="69" t="s">
        <v>340</v>
      </c>
      <c r="B242" s="124" t="s">
        <v>341</v>
      </c>
      <c r="C242" s="124"/>
      <c r="D242" s="124"/>
      <c r="E242" s="124"/>
      <c r="F242" s="124"/>
      <c r="G242" s="124"/>
      <c r="H242" s="124"/>
      <c r="I242" s="124"/>
      <c r="J242" s="124"/>
      <c r="K242" s="124"/>
      <c r="L242" s="71"/>
      <c r="M242" s="72"/>
      <c r="N242" s="72"/>
      <c r="O242" s="72"/>
      <c r="P242" s="72"/>
      <c r="Q242" s="72"/>
      <c r="R242" s="72"/>
      <c r="S242" s="72"/>
      <c r="T242" s="72"/>
      <c r="U242" s="72"/>
      <c r="V242" s="72"/>
    </row>
    <row r="243" spans="1:22" s="73" customFormat="1" ht="13.5">
      <c r="A243" s="69" t="s">
        <v>342</v>
      </c>
      <c r="B243" s="74"/>
      <c r="C243" s="76" t="s">
        <v>343</v>
      </c>
      <c r="D243" s="75" t="s">
        <v>23</v>
      </c>
      <c r="E243" s="41">
        <f>E245+E247</f>
        <v>3024.1859999999997</v>
      </c>
      <c r="F243" s="125"/>
      <c r="G243" s="41"/>
      <c r="H243" s="125"/>
      <c r="I243" s="41"/>
      <c r="J243" s="41"/>
      <c r="K243" s="41"/>
      <c r="L243" s="71"/>
      <c r="M243" s="72"/>
      <c r="N243" s="72"/>
      <c r="O243" s="72"/>
      <c r="P243" s="72"/>
      <c r="Q243" s="72"/>
      <c r="R243" s="72"/>
      <c r="S243" s="72"/>
      <c r="T243" s="72"/>
      <c r="U243" s="72"/>
      <c r="V243" s="72"/>
    </row>
    <row r="244" spans="1:22" s="73" customFormat="1" ht="23.25">
      <c r="A244" s="69" t="s">
        <v>344</v>
      </c>
      <c r="B244" s="120">
        <v>73615</v>
      </c>
      <c r="C244" s="126" t="s">
        <v>345</v>
      </c>
      <c r="D244" s="75" t="s">
        <v>346</v>
      </c>
      <c r="E244" s="41">
        <f>E245*0.08</f>
        <v>142.3072</v>
      </c>
      <c r="F244" s="125"/>
      <c r="G244" s="41"/>
      <c r="H244" s="125"/>
      <c r="I244" s="41"/>
      <c r="J244" s="41"/>
      <c r="K244" s="41"/>
      <c r="L244" s="71"/>
      <c r="M244" s="72"/>
      <c r="N244" s="72"/>
      <c r="O244" s="72"/>
      <c r="P244" s="72"/>
      <c r="Q244" s="72"/>
      <c r="R244" s="72"/>
      <c r="S244" s="72"/>
      <c r="T244" s="72"/>
      <c r="U244" s="72"/>
      <c r="V244" s="72"/>
    </row>
    <row r="245" spans="1:22" s="73" customFormat="1" ht="23.25">
      <c r="A245" s="69" t="s">
        <v>347</v>
      </c>
      <c r="B245" s="120" t="s">
        <v>348</v>
      </c>
      <c r="C245" s="126" t="s">
        <v>349</v>
      </c>
      <c r="D245" s="75" t="s">
        <v>23</v>
      </c>
      <c r="E245" s="41">
        <f>761.01+(72.61*3)+(200*4)</f>
        <v>1778.84</v>
      </c>
      <c r="F245" s="127"/>
      <c r="G245" s="41"/>
      <c r="H245" s="128"/>
      <c r="I245" s="41"/>
      <c r="J245" s="41"/>
      <c r="K245" s="41"/>
      <c r="L245" s="71"/>
      <c r="M245" s="72"/>
      <c r="N245" s="72"/>
      <c r="O245" s="72"/>
      <c r="P245" s="72"/>
      <c r="Q245" s="72"/>
      <c r="R245" s="72"/>
      <c r="S245" s="72"/>
      <c r="T245" s="72"/>
      <c r="U245" s="72"/>
      <c r="V245" s="72"/>
    </row>
    <row r="246" spans="1:22" s="73" customFormat="1" ht="13.5">
      <c r="A246" s="69" t="s">
        <v>350</v>
      </c>
      <c r="B246" s="120" t="s">
        <v>351</v>
      </c>
      <c r="C246" s="126" t="s">
        <v>352</v>
      </c>
      <c r="D246" s="75" t="s">
        <v>189</v>
      </c>
      <c r="E246" s="41">
        <f>(72.61*2)+(200*2)</f>
        <v>545.22</v>
      </c>
      <c r="F246" s="127"/>
      <c r="G246" s="41"/>
      <c r="H246" s="128"/>
      <c r="I246" s="41"/>
      <c r="J246" s="41"/>
      <c r="K246" s="41"/>
      <c r="L246" s="71"/>
      <c r="M246" s="72"/>
      <c r="N246" s="72"/>
      <c r="O246" s="72"/>
      <c r="P246" s="72"/>
      <c r="Q246" s="72"/>
      <c r="R246" s="72"/>
      <c r="S246" s="72"/>
      <c r="T246" s="72"/>
      <c r="U246" s="72"/>
      <c r="V246" s="72"/>
    </row>
    <row r="247" spans="1:22" s="73" customFormat="1" ht="13.5">
      <c r="A247" s="69" t="s">
        <v>353</v>
      </c>
      <c r="B247" s="120" t="s">
        <v>354</v>
      </c>
      <c r="C247" s="76" t="s">
        <v>355</v>
      </c>
      <c r="D247" s="75" t="s">
        <v>23</v>
      </c>
      <c r="E247" s="41">
        <f>(200*1.5)+(1.5*(65.81+34+198.46+4.78+4.46+1.45))+(0.8*49.07)+(1.2*80.4)+145.58+79.42+77.94+43.23</f>
        <v>1245.346</v>
      </c>
      <c r="F247" s="41"/>
      <c r="G247" s="41"/>
      <c r="H247" s="41"/>
      <c r="I247" s="41"/>
      <c r="J247" s="41"/>
      <c r="K247" s="41"/>
      <c r="L247" s="71"/>
      <c r="M247" s="72"/>
      <c r="N247" s="72"/>
      <c r="O247" s="72"/>
      <c r="P247" s="72"/>
      <c r="Q247" s="72"/>
      <c r="R247" s="72"/>
      <c r="S247" s="72"/>
      <c r="T247" s="72"/>
      <c r="U247" s="72"/>
      <c r="V247" s="72"/>
    </row>
    <row r="248" spans="1:22" s="73" customFormat="1" ht="13.5">
      <c r="A248" s="69" t="s">
        <v>356</v>
      </c>
      <c r="B248" s="129" t="s">
        <v>185</v>
      </c>
      <c r="C248" s="126" t="s">
        <v>357</v>
      </c>
      <c r="D248" s="75" t="s">
        <v>189</v>
      </c>
      <c r="E248" s="41">
        <f>575.007+21.0803+15</f>
        <v>611.0872999999999</v>
      </c>
      <c r="F248" s="41">
        <f>SUM(F249:F260)</f>
        <v>0</v>
      </c>
      <c r="G248" s="41"/>
      <c r="H248" s="41">
        <f>SUM(H249:H260)</f>
        <v>0</v>
      </c>
      <c r="I248" s="41"/>
      <c r="J248" s="130"/>
      <c r="K248" s="130"/>
      <c r="L248" s="71"/>
      <c r="M248" s="72"/>
      <c r="N248" s="72"/>
      <c r="O248" s="72"/>
      <c r="P248" s="72"/>
      <c r="Q248" s="72"/>
      <c r="R248" s="72"/>
      <c r="S248" s="72"/>
      <c r="T248" s="72"/>
      <c r="U248" s="72"/>
      <c r="V248" s="72"/>
    </row>
    <row r="249" spans="1:22" s="73" customFormat="1" ht="13.5">
      <c r="A249" s="131" t="s">
        <v>358</v>
      </c>
      <c r="B249" s="132">
        <v>6430</v>
      </c>
      <c r="C249" s="133" t="s">
        <v>359</v>
      </c>
      <c r="D249" s="134" t="s">
        <v>346</v>
      </c>
      <c r="E249" s="135">
        <f>E248*0.12</f>
        <v>73.33047599999999</v>
      </c>
      <c r="F249" s="41"/>
      <c r="G249" s="41"/>
      <c r="H249" s="41"/>
      <c r="I249" s="41"/>
      <c r="J249" s="130"/>
      <c r="K249" s="130"/>
      <c r="L249" s="71"/>
      <c r="M249" s="72"/>
      <c r="N249" s="72"/>
      <c r="O249" s="72"/>
      <c r="P249" s="72"/>
      <c r="Q249" s="72"/>
      <c r="R249" s="72"/>
      <c r="S249" s="72"/>
      <c r="T249" s="72"/>
      <c r="U249" s="72"/>
      <c r="V249" s="72"/>
    </row>
    <row r="250" spans="1:22" s="73" customFormat="1" ht="13.5">
      <c r="A250" s="131" t="s">
        <v>360</v>
      </c>
      <c r="B250" s="132" t="s">
        <v>361</v>
      </c>
      <c r="C250" s="133" t="s">
        <v>362</v>
      </c>
      <c r="D250" s="134" t="s">
        <v>346</v>
      </c>
      <c r="E250" s="135">
        <f>E248*0.015</f>
        <v>9.166309499999999</v>
      </c>
      <c r="F250" s="41"/>
      <c r="G250" s="41"/>
      <c r="H250" s="41"/>
      <c r="I250" s="41"/>
      <c r="J250" s="130"/>
      <c r="K250" s="130"/>
      <c r="L250" s="71"/>
      <c r="M250" s="72"/>
      <c r="N250" s="72"/>
      <c r="O250" s="72"/>
      <c r="P250" s="72"/>
      <c r="Q250" s="72"/>
      <c r="R250" s="72"/>
      <c r="S250" s="72"/>
      <c r="T250" s="72"/>
      <c r="U250" s="72"/>
      <c r="V250" s="72"/>
    </row>
    <row r="251" spans="1:22" s="73" customFormat="1" ht="13.5">
      <c r="A251" s="131" t="s">
        <v>363</v>
      </c>
      <c r="B251" s="132">
        <v>73394</v>
      </c>
      <c r="C251" s="133" t="s">
        <v>364</v>
      </c>
      <c r="D251" s="136" t="s">
        <v>23</v>
      </c>
      <c r="E251" s="135">
        <f>E248*1.47</f>
        <v>898.2983309999998</v>
      </c>
      <c r="F251" s="41"/>
      <c r="G251" s="41"/>
      <c r="H251" s="41"/>
      <c r="I251" s="41"/>
      <c r="J251" s="130"/>
      <c r="K251" s="130"/>
      <c r="L251" s="71"/>
      <c r="M251" s="72"/>
      <c r="N251" s="72"/>
      <c r="O251" s="72"/>
      <c r="P251" s="72"/>
      <c r="Q251" s="72"/>
      <c r="R251" s="72"/>
      <c r="S251" s="72"/>
      <c r="T251" s="72"/>
      <c r="U251" s="72"/>
      <c r="V251" s="72"/>
    </row>
    <row r="252" spans="1:22" s="73" customFormat="1" ht="13.5">
      <c r="A252" s="131" t="s">
        <v>365</v>
      </c>
      <c r="B252" s="132">
        <v>6501</v>
      </c>
      <c r="C252" s="137" t="s">
        <v>366</v>
      </c>
      <c r="D252" s="134" t="s">
        <v>346</v>
      </c>
      <c r="E252" s="135">
        <f>E248*0.0724</f>
        <v>44.24272052</v>
      </c>
      <c r="F252" s="41"/>
      <c r="G252" s="41"/>
      <c r="H252" s="41"/>
      <c r="I252" s="41"/>
      <c r="J252" s="130"/>
      <c r="K252" s="130"/>
      <c r="L252" s="71"/>
      <c r="M252" s="72"/>
      <c r="N252" s="72"/>
      <c r="O252" s="72"/>
      <c r="P252" s="72"/>
      <c r="Q252" s="72"/>
      <c r="R252" s="72"/>
      <c r="S252" s="72"/>
      <c r="T252" s="72"/>
      <c r="U252" s="72"/>
      <c r="V252" s="72"/>
    </row>
    <row r="253" spans="1:22" s="73" customFormat="1" ht="13.5">
      <c r="A253" s="131" t="s">
        <v>367</v>
      </c>
      <c r="B253" s="132">
        <v>4102</v>
      </c>
      <c r="C253" s="137" t="s">
        <v>368</v>
      </c>
      <c r="D253" s="134" t="s">
        <v>369</v>
      </c>
      <c r="E253" s="135">
        <f>E248*0.4</f>
        <v>244.43491999999998</v>
      </c>
      <c r="F253" s="41"/>
      <c r="G253" s="41"/>
      <c r="H253" s="41"/>
      <c r="I253" s="41"/>
      <c r="J253" s="130"/>
      <c r="K253" s="130"/>
      <c r="L253" s="71"/>
      <c r="M253" s="72"/>
      <c r="N253" s="72"/>
      <c r="O253" s="72"/>
      <c r="P253" s="72"/>
      <c r="Q253" s="72"/>
      <c r="R253" s="72"/>
      <c r="S253" s="72"/>
      <c r="T253" s="72"/>
      <c r="U253" s="72"/>
      <c r="V253" s="72"/>
    </row>
    <row r="254" spans="1:22" s="73" customFormat="1" ht="13.5">
      <c r="A254" s="131" t="s">
        <v>370</v>
      </c>
      <c r="B254" s="132" t="s">
        <v>371</v>
      </c>
      <c r="C254" s="137" t="s">
        <v>372</v>
      </c>
      <c r="D254" s="134" t="s">
        <v>346</v>
      </c>
      <c r="E254" s="135">
        <f>E248*0.0813685714285714</f>
        <v>49.72330061914283</v>
      </c>
      <c r="F254" s="41"/>
      <c r="G254" s="41"/>
      <c r="H254" s="41"/>
      <c r="I254" s="41"/>
      <c r="J254" s="130"/>
      <c r="K254" s="130"/>
      <c r="L254" s="71"/>
      <c r="M254" s="72"/>
      <c r="N254" s="72"/>
      <c r="O254" s="72"/>
      <c r="P254" s="72"/>
      <c r="Q254" s="72"/>
      <c r="R254" s="72"/>
      <c r="S254" s="72"/>
      <c r="T254" s="72"/>
      <c r="U254" s="72"/>
      <c r="V254" s="72"/>
    </row>
    <row r="255" spans="1:22" s="73" customFormat="1" ht="13.5">
      <c r="A255" s="131" t="s">
        <v>373</v>
      </c>
      <c r="B255" s="132" t="s">
        <v>374</v>
      </c>
      <c r="C255" s="137" t="s">
        <v>375</v>
      </c>
      <c r="D255" s="134" t="s">
        <v>23</v>
      </c>
      <c r="E255" s="135">
        <f>E248*1.248</f>
        <v>762.6369503999999</v>
      </c>
      <c r="F255" s="41"/>
      <c r="G255" s="41"/>
      <c r="H255" s="41"/>
      <c r="I255" s="41"/>
      <c r="J255" s="130"/>
      <c r="K255" s="130"/>
      <c r="L255" s="71"/>
      <c r="M255" s="72"/>
      <c r="N255" s="72"/>
      <c r="O255" s="72"/>
      <c r="P255" s="72"/>
      <c r="Q255" s="72"/>
      <c r="R255" s="72"/>
      <c r="S255" s="72"/>
      <c r="T255" s="72"/>
      <c r="U255" s="72"/>
      <c r="V255" s="72"/>
    </row>
    <row r="256" spans="1:22" s="73" customFormat="1" ht="13.5">
      <c r="A256" s="131" t="s">
        <v>376</v>
      </c>
      <c r="B256" s="132" t="s">
        <v>377</v>
      </c>
      <c r="C256" s="137" t="s">
        <v>378</v>
      </c>
      <c r="D256" s="134" t="s">
        <v>23</v>
      </c>
      <c r="E256" s="135">
        <f>E248*1.248</f>
        <v>762.6369503999999</v>
      </c>
      <c r="F256" s="41"/>
      <c r="G256" s="41"/>
      <c r="H256" s="41"/>
      <c r="I256" s="41"/>
      <c r="J256" s="130"/>
      <c r="K256" s="130"/>
      <c r="L256" s="71"/>
      <c r="M256" s="72"/>
      <c r="N256" s="72"/>
      <c r="O256" s="72"/>
      <c r="P256" s="72"/>
      <c r="Q256" s="72"/>
      <c r="R256" s="72"/>
      <c r="S256" s="72"/>
      <c r="T256" s="72"/>
      <c r="U256" s="72"/>
      <c r="V256" s="72"/>
    </row>
    <row r="257" spans="1:22" s="73" customFormat="1" ht="13.5">
      <c r="A257" s="131" t="s">
        <v>379</v>
      </c>
      <c r="B257" s="132">
        <v>10927</v>
      </c>
      <c r="C257" s="137" t="s">
        <v>380</v>
      </c>
      <c r="D257" s="134" t="s">
        <v>23</v>
      </c>
      <c r="E257" s="135">
        <f>E248*2.32</f>
        <v>1417.7225359999998</v>
      </c>
      <c r="F257" s="41"/>
      <c r="G257" s="41"/>
      <c r="H257" s="41"/>
      <c r="I257" s="41"/>
      <c r="J257" s="130"/>
      <c r="K257" s="130"/>
      <c r="L257" s="71"/>
      <c r="M257" s="72"/>
      <c r="N257" s="72"/>
      <c r="O257" s="72"/>
      <c r="P257" s="72"/>
      <c r="Q257" s="72"/>
      <c r="R257" s="72"/>
      <c r="S257" s="72"/>
      <c r="T257" s="72"/>
      <c r="U257" s="72"/>
      <c r="V257" s="72"/>
    </row>
    <row r="258" spans="1:22" s="73" customFormat="1" ht="13.5">
      <c r="A258" s="131" t="s">
        <v>381</v>
      </c>
      <c r="B258" s="132">
        <v>4750</v>
      </c>
      <c r="C258" s="137" t="s">
        <v>382</v>
      </c>
      <c r="D258" s="134" t="s">
        <v>383</v>
      </c>
      <c r="E258" s="135">
        <f>E248*0.8</f>
        <v>488.86983999999995</v>
      </c>
      <c r="F258" s="41"/>
      <c r="G258" s="41"/>
      <c r="H258" s="41"/>
      <c r="I258" s="41"/>
      <c r="J258" s="130"/>
      <c r="K258" s="130"/>
      <c r="L258" s="71"/>
      <c r="M258" s="72"/>
      <c r="N258" s="72"/>
      <c r="O258" s="72"/>
      <c r="P258" s="72"/>
      <c r="Q258" s="72"/>
      <c r="R258" s="72"/>
      <c r="S258" s="72"/>
      <c r="T258" s="72"/>
      <c r="U258" s="72"/>
      <c r="V258" s="72"/>
    </row>
    <row r="259" spans="1:22" s="73" customFormat="1" ht="13.5">
      <c r="A259" s="131" t="s">
        <v>384</v>
      </c>
      <c r="B259" s="132">
        <v>6127</v>
      </c>
      <c r="C259" s="137" t="s">
        <v>385</v>
      </c>
      <c r="D259" s="134" t="s">
        <v>383</v>
      </c>
      <c r="E259" s="135">
        <f>E248*1.6</f>
        <v>977.7396799999999</v>
      </c>
      <c r="F259" s="41"/>
      <c r="G259" s="41"/>
      <c r="H259" s="41"/>
      <c r="I259" s="41"/>
      <c r="J259" s="130"/>
      <c r="K259" s="130"/>
      <c r="L259" s="71"/>
      <c r="M259" s="72"/>
      <c r="N259" s="72"/>
      <c r="O259" s="72"/>
      <c r="P259" s="72"/>
      <c r="Q259" s="72"/>
      <c r="R259" s="72"/>
      <c r="S259" s="72"/>
      <c r="T259" s="72"/>
      <c r="U259" s="72"/>
      <c r="V259" s="72"/>
    </row>
    <row r="260" spans="1:22" s="73" customFormat="1" ht="13.5">
      <c r="A260" s="131" t="s">
        <v>386</v>
      </c>
      <c r="B260" s="132">
        <v>6111</v>
      </c>
      <c r="C260" s="137" t="s">
        <v>387</v>
      </c>
      <c r="D260" s="134" t="s">
        <v>383</v>
      </c>
      <c r="E260" s="135">
        <f>E248*0.04</f>
        <v>24.443491999999996</v>
      </c>
      <c r="F260" s="41"/>
      <c r="G260" s="41"/>
      <c r="H260" s="41"/>
      <c r="I260" s="41"/>
      <c r="J260" s="130"/>
      <c r="K260" s="130"/>
      <c r="L260" s="71"/>
      <c r="M260" s="72"/>
      <c r="N260" s="72"/>
      <c r="O260" s="72"/>
      <c r="P260" s="72"/>
      <c r="Q260" s="72"/>
      <c r="R260" s="72"/>
      <c r="S260" s="72"/>
      <c r="T260" s="72"/>
      <c r="U260" s="72"/>
      <c r="V260" s="72"/>
    </row>
    <row r="261" spans="1:22" s="73" customFormat="1" ht="13.5">
      <c r="A261" s="69" t="s">
        <v>388</v>
      </c>
      <c r="B261" s="129" t="s">
        <v>389</v>
      </c>
      <c r="C261" s="138" t="s">
        <v>390</v>
      </c>
      <c r="D261" s="75" t="s">
        <v>391</v>
      </c>
      <c r="E261" s="41">
        <v>1</v>
      </c>
      <c r="F261" s="41"/>
      <c r="G261" s="41"/>
      <c r="H261" s="41"/>
      <c r="I261" s="41"/>
      <c r="J261" s="41"/>
      <c r="K261" s="41"/>
      <c r="L261" s="71"/>
      <c r="M261" s="72"/>
      <c r="N261" s="72"/>
      <c r="O261" s="72"/>
      <c r="P261" s="72"/>
      <c r="Q261" s="72"/>
      <c r="R261" s="72"/>
      <c r="S261" s="72"/>
      <c r="T261" s="72"/>
      <c r="U261" s="72"/>
      <c r="V261" s="72"/>
    </row>
    <row r="262" spans="1:22" s="73" customFormat="1" ht="13.5">
      <c r="A262" s="69" t="s">
        <v>392</v>
      </c>
      <c r="B262" s="129" t="s">
        <v>393</v>
      </c>
      <c r="C262" s="138" t="s">
        <v>394</v>
      </c>
      <c r="D262" s="75" t="s">
        <v>391</v>
      </c>
      <c r="E262" s="41">
        <v>2</v>
      </c>
      <c r="F262" s="41"/>
      <c r="G262" s="41"/>
      <c r="H262" s="41"/>
      <c r="I262" s="41"/>
      <c r="J262" s="41"/>
      <c r="K262" s="41"/>
      <c r="L262" s="71"/>
      <c r="M262" s="72"/>
      <c r="N262" s="72"/>
      <c r="O262" s="72"/>
      <c r="P262" s="72"/>
      <c r="Q262" s="72"/>
      <c r="R262" s="72"/>
      <c r="S262" s="72"/>
      <c r="T262" s="72"/>
      <c r="U262" s="72"/>
      <c r="V262" s="72"/>
    </row>
    <row r="263" spans="1:22" s="73" customFormat="1" ht="13.5">
      <c r="A263" s="69" t="s">
        <v>395</v>
      </c>
      <c r="B263" s="120"/>
      <c r="C263" s="39" t="s">
        <v>45</v>
      </c>
      <c r="D263" s="75"/>
      <c r="E263" s="41"/>
      <c r="F263" s="41"/>
      <c r="G263" s="41"/>
      <c r="H263" s="41"/>
      <c r="I263" s="41"/>
      <c r="J263" s="41"/>
      <c r="K263" s="41"/>
      <c r="L263" s="71"/>
      <c r="M263" s="72"/>
      <c r="N263" s="72"/>
      <c r="O263" s="72"/>
      <c r="P263" s="72"/>
      <c r="Q263" s="72"/>
      <c r="R263" s="72"/>
      <c r="S263" s="72"/>
      <c r="T263" s="72"/>
      <c r="U263" s="72"/>
      <c r="V263" s="72"/>
    </row>
    <row r="264" spans="1:22" s="73" customFormat="1" ht="13.5">
      <c r="A264" s="69" t="s">
        <v>396</v>
      </c>
      <c r="B264" s="139"/>
      <c r="C264" s="39" t="s">
        <v>47</v>
      </c>
      <c r="D264" s="140"/>
      <c r="E264" s="141"/>
      <c r="F264" s="141"/>
      <c r="G264" s="142"/>
      <c r="H264" s="141"/>
      <c r="I264" s="142"/>
      <c r="J264" s="141"/>
      <c r="K264" s="141"/>
      <c r="L264" s="71"/>
      <c r="M264" s="72"/>
      <c r="N264" s="72"/>
      <c r="O264" s="72"/>
      <c r="P264" s="72"/>
      <c r="Q264" s="72"/>
      <c r="R264" s="72"/>
      <c r="S264" s="72"/>
      <c r="T264" s="72"/>
      <c r="U264" s="72"/>
      <c r="V264" s="72"/>
    </row>
    <row r="265" spans="1:22" s="73" customFormat="1" ht="13.5">
      <c r="A265" s="69" t="s">
        <v>397</v>
      </c>
      <c r="B265" s="139"/>
      <c r="C265" s="39" t="s">
        <v>49</v>
      </c>
      <c r="D265" s="140"/>
      <c r="E265" s="141"/>
      <c r="F265" s="141"/>
      <c r="G265" s="142"/>
      <c r="H265" s="141"/>
      <c r="I265" s="142"/>
      <c r="J265" s="141"/>
      <c r="K265" s="141"/>
      <c r="L265" s="71"/>
      <c r="M265" s="72"/>
      <c r="N265" s="72"/>
      <c r="O265" s="72"/>
      <c r="P265" s="72"/>
      <c r="Q265" s="72"/>
      <c r="R265" s="72"/>
      <c r="S265" s="72"/>
      <c r="T265" s="72"/>
      <c r="U265" s="72"/>
      <c r="V265" s="72"/>
    </row>
    <row r="266" spans="1:22" s="73" customFormat="1" ht="13.5">
      <c r="A266" s="69" t="s">
        <v>398</v>
      </c>
      <c r="B266" s="139"/>
      <c r="C266" s="39" t="s">
        <v>51</v>
      </c>
      <c r="D266" s="140"/>
      <c r="E266" s="141"/>
      <c r="F266" s="141"/>
      <c r="G266" s="142"/>
      <c r="H266" s="141"/>
      <c r="I266" s="142"/>
      <c r="J266" s="141"/>
      <c r="K266" s="141"/>
      <c r="L266" s="71"/>
      <c r="M266" s="72"/>
      <c r="N266" s="72"/>
      <c r="O266" s="72"/>
      <c r="P266" s="72"/>
      <c r="Q266" s="72"/>
      <c r="R266" s="72"/>
      <c r="S266" s="72"/>
      <c r="T266" s="72"/>
      <c r="U266" s="72"/>
      <c r="V266" s="72"/>
    </row>
    <row r="267" spans="1:22" s="73" customFormat="1" ht="13.5">
      <c r="A267" s="69" t="s">
        <v>399</v>
      </c>
      <c r="B267" s="139"/>
      <c r="C267" s="39" t="s">
        <v>53</v>
      </c>
      <c r="D267" s="140"/>
      <c r="E267" s="141"/>
      <c r="F267" s="141"/>
      <c r="G267" s="142"/>
      <c r="H267" s="141"/>
      <c r="I267" s="142"/>
      <c r="J267" s="141"/>
      <c r="K267" s="141"/>
      <c r="L267" s="71"/>
      <c r="M267" s="72"/>
      <c r="N267" s="72"/>
      <c r="O267" s="72"/>
      <c r="P267" s="72"/>
      <c r="Q267" s="72"/>
      <c r="R267" s="72"/>
      <c r="S267" s="72"/>
      <c r="T267" s="72"/>
      <c r="U267" s="72"/>
      <c r="V267" s="72"/>
    </row>
    <row r="268" spans="1:22" s="73" customFormat="1" ht="13.5">
      <c r="A268" s="69" t="s">
        <v>400</v>
      </c>
      <c r="B268" s="139"/>
      <c r="C268" s="39" t="s">
        <v>55</v>
      </c>
      <c r="D268" s="140"/>
      <c r="E268" s="141"/>
      <c r="F268" s="141"/>
      <c r="G268" s="142"/>
      <c r="H268" s="141"/>
      <c r="I268" s="142"/>
      <c r="J268" s="141"/>
      <c r="K268" s="141"/>
      <c r="L268" s="71"/>
      <c r="M268" s="72"/>
      <c r="N268" s="72"/>
      <c r="O268" s="72"/>
      <c r="P268" s="72"/>
      <c r="Q268" s="72"/>
      <c r="R268" s="72"/>
      <c r="S268" s="72"/>
      <c r="T268" s="72"/>
      <c r="U268" s="72"/>
      <c r="V268" s="72"/>
    </row>
    <row r="269" spans="1:22" s="73" customFormat="1" ht="13.5">
      <c r="A269" s="69" t="s">
        <v>401</v>
      </c>
      <c r="B269" s="139"/>
      <c r="C269" s="60" t="s">
        <v>57</v>
      </c>
      <c r="D269" s="140"/>
      <c r="E269" s="141"/>
      <c r="F269" s="141"/>
      <c r="G269" s="142"/>
      <c r="H269" s="141"/>
      <c r="I269" s="142"/>
      <c r="J269" s="141"/>
      <c r="K269" s="141"/>
      <c r="L269" s="71"/>
      <c r="M269" s="72"/>
      <c r="N269" s="72"/>
      <c r="O269" s="72"/>
      <c r="P269" s="72"/>
      <c r="Q269" s="72"/>
      <c r="R269" s="72"/>
      <c r="S269" s="72"/>
      <c r="T269" s="72"/>
      <c r="U269" s="72"/>
      <c r="V269" s="72"/>
    </row>
    <row r="270" spans="1:22" s="73" customFormat="1" ht="13.5">
      <c r="A270" s="69" t="s">
        <v>402</v>
      </c>
      <c r="B270" s="139"/>
      <c r="C270" s="39" t="s">
        <v>59</v>
      </c>
      <c r="D270" s="140"/>
      <c r="E270" s="141"/>
      <c r="F270" s="141"/>
      <c r="G270" s="142"/>
      <c r="H270" s="141"/>
      <c r="I270" s="142"/>
      <c r="J270" s="141"/>
      <c r="K270" s="141"/>
      <c r="L270" s="71"/>
      <c r="M270" s="72"/>
      <c r="N270" s="72"/>
      <c r="O270" s="72"/>
      <c r="P270" s="72"/>
      <c r="Q270" s="72"/>
      <c r="R270" s="72"/>
      <c r="S270" s="72"/>
      <c r="T270" s="72"/>
      <c r="U270" s="72"/>
      <c r="V270" s="72"/>
    </row>
    <row r="271" spans="1:22" s="73" customFormat="1" ht="13.5">
      <c r="A271" s="69" t="s">
        <v>403</v>
      </c>
      <c r="B271" s="139"/>
      <c r="C271" s="39" t="s">
        <v>61</v>
      </c>
      <c r="D271" s="140"/>
      <c r="E271" s="141"/>
      <c r="F271" s="141"/>
      <c r="G271" s="142"/>
      <c r="H271" s="141"/>
      <c r="I271" s="142"/>
      <c r="J271" s="141"/>
      <c r="K271" s="141"/>
      <c r="L271" s="71"/>
      <c r="M271" s="72"/>
      <c r="N271" s="72"/>
      <c r="O271" s="72"/>
      <c r="P271" s="72"/>
      <c r="Q271" s="72"/>
      <c r="R271" s="72"/>
      <c r="S271" s="72"/>
      <c r="T271" s="72"/>
      <c r="U271" s="72"/>
      <c r="V271" s="72"/>
    </row>
    <row r="272" spans="1:22" s="73" customFormat="1" ht="13.5">
      <c r="A272" s="69" t="s">
        <v>404</v>
      </c>
      <c r="B272" s="139"/>
      <c r="C272" s="39" t="s">
        <v>63</v>
      </c>
      <c r="D272" s="140"/>
      <c r="E272" s="141"/>
      <c r="F272" s="141"/>
      <c r="G272" s="142"/>
      <c r="H272" s="141"/>
      <c r="I272" s="142"/>
      <c r="J272" s="141"/>
      <c r="K272" s="141"/>
      <c r="L272" s="71"/>
      <c r="M272" s="72"/>
      <c r="N272" s="72"/>
      <c r="O272" s="72"/>
      <c r="P272" s="72"/>
      <c r="Q272" s="72"/>
      <c r="R272" s="72"/>
      <c r="S272" s="72"/>
      <c r="T272" s="72"/>
      <c r="U272" s="72"/>
      <c r="V272" s="72"/>
    </row>
    <row r="273" spans="1:22" s="73" customFormat="1" ht="13.5">
      <c r="A273" s="79" t="s">
        <v>405</v>
      </c>
      <c r="B273" s="79"/>
      <c r="C273" s="79"/>
      <c r="D273" s="79"/>
      <c r="E273" s="79"/>
      <c r="F273" s="79"/>
      <c r="G273" s="79"/>
      <c r="H273" s="79"/>
      <c r="I273" s="79"/>
      <c r="J273" s="84"/>
      <c r="K273" s="84"/>
      <c r="L273" s="80"/>
      <c r="M273" s="72"/>
      <c r="N273" s="72"/>
      <c r="O273" s="72"/>
      <c r="P273" s="72"/>
      <c r="Q273" s="72"/>
      <c r="R273" s="72"/>
      <c r="S273" s="72"/>
      <c r="T273" s="72"/>
      <c r="U273" s="72"/>
      <c r="V273" s="72"/>
    </row>
    <row r="274" spans="1:12" ht="13.5">
      <c r="A274" s="34" t="s">
        <v>406</v>
      </c>
      <c r="B274" s="143" t="s">
        <v>407</v>
      </c>
      <c r="C274" s="143"/>
      <c r="D274" s="143"/>
      <c r="E274" s="143"/>
      <c r="F274" s="143"/>
      <c r="G274" s="143"/>
      <c r="H274" s="143"/>
      <c r="I274" s="143"/>
      <c r="J274" s="143"/>
      <c r="K274" s="143"/>
      <c r="L274" s="144"/>
    </row>
    <row r="275" spans="1:11" ht="13.5">
      <c r="A275" s="145" t="s">
        <v>408</v>
      </c>
      <c r="B275" s="145"/>
      <c r="C275" s="146" t="s">
        <v>409</v>
      </c>
      <c r="D275" s="147" t="s">
        <v>23</v>
      </c>
      <c r="E275" s="41">
        <f>E19</f>
        <v>3024.1859999999997</v>
      </c>
      <c r="F275" s="142"/>
      <c r="G275" s="142"/>
      <c r="H275" s="142"/>
      <c r="I275" s="142"/>
      <c r="J275" s="141"/>
      <c r="K275" s="141"/>
    </row>
    <row r="276" spans="1:11" s="42" customFormat="1" ht="13.5">
      <c r="A276" s="145" t="s">
        <v>410</v>
      </c>
      <c r="B276" s="37"/>
      <c r="C276" s="39" t="s">
        <v>45</v>
      </c>
      <c r="D276" s="40"/>
      <c r="E276" s="41"/>
      <c r="F276" s="41"/>
      <c r="G276" s="41"/>
      <c r="H276" s="41"/>
      <c r="I276" s="41"/>
      <c r="J276" s="41"/>
      <c r="K276" s="41"/>
    </row>
    <row r="277" spans="1:11" s="42" customFormat="1" ht="13.5">
      <c r="A277" s="145" t="s">
        <v>411</v>
      </c>
      <c r="B277" s="37"/>
      <c r="C277" s="39" t="s">
        <v>47</v>
      </c>
      <c r="D277" s="40"/>
      <c r="E277" s="41"/>
      <c r="F277" s="41"/>
      <c r="G277" s="41"/>
      <c r="H277" s="41"/>
      <c r="I277" s="41"/>
      <c r="J277" s="41"/>
      <c r="K277" s="41"/>
    </row>
    <row r="278" spans="1:11" s="42" customFormat="1" ht="13.5">
      <c r="A278" s="145" t="s">
        <v>412</v>
      </c>
      <c r="B278" s="37"/>
      <c r="C278" s="39" t="s">
        <v>49</v>
      </c>
      <c r="D278" s="40"/>
      <c r="E278" s="41"/>
      <c r="F278" s="41"/>
      <c r="G278" s="41"/>
      <c r="H278" s="41"/>
      <c r="I278" s="41"/>
      <c r="J278" s="41"/>
      <c r="K278" s="41"/>
    </row>
    <row r="279" spans="1:11" s="42" customFormat="1" ht="13.5">
      <c r="A279" s="145" t="s">
        <v>413</v>
      </c>
      <c r="B279" s="37"/>
      <c r="C279" s="39" t="s">
        <v>51</v>
      </c>
      <c r="D279" s="40"/>
      <c r="E279" s="41"/>
      <c r="F279" s="41"/>
      <c r="G279" s="41"/>
      <c r="H279" s="41"/>
      <c r="I279" s="41"/>
      <c r="J279" s="41"/>
      <c r="K279" s="41"/>
    </row>
    <row r="280" spans="1:11" s="42" customFormat="1" ht="13.5">
      <c r="A280" s="145" t="s">
        <v>414</v>
      </c>
      <c r="B280" s="37"/>
      <c r="C280" s="39" t="s">
        <v>53</v>
      </c>
      <c r="D280" s="40"/>
      <c r="E280" s="41"/>
      <c r="F280" s="41"/>
      <c r="G280" s="41"/>
      <c r="H280" s="41"/>
      <c r="I280" s="41"/>
      <c r="J280" s="41"/>
      <c r="K280" s="41"/>
    </row>
    <row r="281" spans="1:11" s="42" customFormat="1" ht="13.5">
      <c r="A281" s="145" t="s">
        <v>415</v>
      </c>
      <c r="B281" s="37"/>
      <c r="C281" s="39" t="s">
        <v>55</v>
      </c>
      <c r="D281" s="40"/>
      <c r="E281" s="41"/>
      <c r="F281" s="41"/>
      <c r="G281" s="41"/>
      <c r="H281" s="41"/>
      <c r="I281" s="41"/>
      <c r="J281" s="41"/>
      <c r="K281" s="41"/>
    </row>
    <row r="282" spans="1:11" s="42" customFormat="1" ht="13.5">
      <c r="A282" s="145" t="s">
        <v>416</v>
      </c>
      <c r="B282" s="37"/>
      <c r="C282" s="60" t="s">
        <v>57</v>
      </c>
      <c r="D282" s="40"/>
      <c r="E282" s="41"/>
      <c r="F282" s="41"/>
      <c r="G282" s="41"/>
      <c r="H282" s="41"/>
      <c r="I282" s="41"/>
      <c r="J282" s="41"/>
      <c r="K282" s="41"/>
    </row>
    <row r="283" spans="1:11" s="42" customFormat="1" ht="13.5">
      <c r="A283" s="145" t="s">
        <v>417</v>
      </c>
      <c r="B283" s="37"/>
      <c r="C283" s="39" t="s">
        <v>59</v>
      </c>
      <c r="D283" s="40"/>
      <c r="E283" s="41"/>
      <c r="F283" s="41"/>
      <c r="G283" s="41"/>
      <c r="H283" s="41"/>
      <c r="I283" s="41"/>
      <c r="J283" s="41"/>
      <c r="K283" s="41"/>
    </row>
    <row r="284" spans="1:11" s="42" customFormat="1" ht="13.5">
      <c r="A284" s="145" t="s">
        <v>418</v>
      </c>
      <c r="B284" s="37"/>
      <c r="C284" s="39" t="s">
        <v>61</v>
      </c>
      <c r="D284" s="40"/>
      <c r="E284" s="41"/>
      <c r="F284" s="41"/>
      <c r="G284" s="41"/>
      <c r="H284" s="41"/>
      <c r="I284" s="41"/>
      <c r="J284" s="41"/>
      <c r="K284" s="41"/>
    </row>
    <row r="285" spans="1:11" s="42" customFormat="1" ht="13.5">
      <c r="A285" s="145" t="s">
        <v>419</v>
      </c>
      <c r="B285" s="37"/>
      <c r="C285" s="39" t="s">
        <v>63</v>
      </c>
      <c r="D285" s="40"/>
      <c r="E285" s="41"/>
      <c r="F285" s="41"/>
      <c r="G285" s="41"/>
      <c r="H285" s="41"/>
      <c r="I285" s="41"/>
      <c r="J285" s="41"/>
      <c r="K285" s="41"/>
    </row>
    <row r="286" spans="1:11" s="42" customFormat="1" ht="13.5">
      <c r="A286" s="145" t="s">
        <v>420</v>
      </c>
      <c r="B286" s="37"/>
      <c r="C286" s="46" t="s">
        <v>421</v>
      </c>
      <c r="D286" s="40" t="s">
        <v>29</v>
      </c>
      <c r="E286" s="41">
        <v>1</v>
      </c>
      <c r="F286" s="41"/>
      <c r="G286" s="41"/>
      <c r="H286" s="41"/>
      <c r="I286" s="41"/>
      <c r="J286" s="41"/>
      <c r="K286" s="41"/>
    </row>
    <row r="287" spans="1:11" s="42" customFormat="1" ht="13.5">
      <c r="A287" s="145" t="s">
        <v>422</v>
      </c>
      <c r="B287" s="37"/>
      <c r="C287" s="46" t="s">
        <v>423</v>
      </c>
      <c r="D287" s="40" t="s">
        <v>29</v>
      </c>
      <c r="E287" s="41">
        <v>1</v>
      </c>
      <c r="F287" s="41"/>
      <c r="G287" s="41"/>
      <c r="H287" s="41"/>
      <c r="I287" s="41"/>
      <c r="J287" s="41"/>
      <c r="K287" s="41"/>
    </row>
    <row r="288" spans="1:11" ht="13.5">
      <c r="A288" s="67" t="s">
        <v>424</v>
      </c>
      <c r="B288" s="67"/>
      <c r="C288" s="67"/>
      <c r="D288" s="67"/>
      <c r="E288" s="67"/>
      <c r="F288" s="67"/>
      <c r="G288" s="67"/>
      <c r="H288" s="67"/>
      <c r="I288" s="67"/>
      <c r="J288" s="84"/>
      <c r="K288" s="94"/>
    </row>
    <row r="289" spans="1:11" s="151" customFormat="1" ht="13.5">
      <c r="A289" s="148"/>
      <c r="B289" s="149"/>
      <c r="C289" s="150"/>
      <c r="D289" s="150"/>
      <c r="E289" s="150"/>
      <c r="F289" s="150"/>
      <c r="G289" s="150"/>
      <c r="H289" s="150"/>
      <c r="I289" s="150"/>
      <c r="J289" s="150"/>
      <c r="K289" s="150"/>
    </row>
    <row r="290" spans="1:11" s="154" customFormat="1" ht="15.75">
      <c r="A290" s="152" t="s">
        <v>425</v>
      </c>
      <c r="B290" s="152"/>
      <c r="C290" s="152"/>
      <c r="D290" s="152"/>
      <c r="E290" s="152"/>
      <c r="F290" s="152"/>
      <c r="G290" s="152"/>
      <c r="H290" s="152"/>
      <c r="I290" s="152"/>
      <c r="J290" s="153"/>
      <c r="K290" s="153"/>
    </row>
  </sheetData>
  <sheetProtection selectLockedCells="1" selectUnlockedCells="1"/>
  <mergeCells count="50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O9"/>
    <mergeCell ref="P9:T9"/>
    <mergeCell ref="B11:K11"/>
    <mergeCell ref="A30:I30"/>
    <mergeCell ref="B31:K31"/>
    <mergeCell ref="A43:I43"/>
    <mergeCell ref="B44:K44"/>
    <mergeCell ref="A55:I55"/>
    <mergeCell ref="B56:K56"/>
    <mergeCell ref="A67:I67"/>
    <mergeCell ref="B68:K68"/>
    <mergeCell ref="A79:I79"/>
    <mergeCell ref="B80:K80"/>
    <mergeCell ref="A91:I91"/>
    <mergeCell ref="B92:K92"/>
    <mergeCell ref="A103:I103"/>
    <mergeCell ref="B104:K104"/>
    <mergeCell ref="A115:I115"/>
    <mergeCell ref="B116:K116"/>
    <mergeCell ref="A127:I127"/>
    <mergeCell ref="B128:K128"/>
    <mergeCell ref="A180:I180"/>
    <mergeCell ref="B181:K181"/>
    <mergeCell ref="A192:I192"/>
    <mergeCell ref="B193:K193"/>
    <mergeCell ref="A204:I204"/>
    <mergeCell ref="B205:K205"/>
    <mergeCell ref="A217:I217"/>
    <mergeCell ref="B218:K218"/>
    <mergeCell ref="A229:I229"/>
    <mergeCell ref="B230:K230"/>
    <mergeCell ref="A241:I241"/>
    <mergeCell ref="B242:K242"/>
    <mergeCell ref="J248:J260"/>
    <mergeCell ref="K248:K260"/>
    <mergeCell ref="A273:I273"/>
    <mergeCell ref="B274:K274"/>
    <mergeCell ref="A288:I288"/>
    <mergeCell ref="C289:K289"/>
    <mergeCell ref="A290:I290"/>
  </mergeCells>
  <printOptions/>
  <pageMargins left="0.5118055555555555" right="0.5118055555555555" top="0.7875" bottom="0.7875" header="0.5118055555555555" footer="0.31527777777777777"/>
  <pageSetup fitToHeight="10" fitToWidth="1" horizontalDpi="300" verticalDpi="300" orientation="landscape" paperSize="77"/>
  <headerFooter alignWithMargins="0">
    <oddFooter>&amp;L&amp;"Calibri,Regular"&amp;11GERAL&amp;C&amp;"Calibri,Regular"&amp;11Pág.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7"/>
  <sheetViews>
    <sheetView zoomScale="90" zoomScaleNormal="90" workbookViewId="0" topLeftCell="A1">
      <pane ySplit="10" topLeftCell="A11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6.28125" style="1" customWidth="1"/>
    <col min="2" max="2" width="12.421875" style="1" customWidth="1"/>
    <col min="3" max="3" width="70.28125" style="2" customWidth="1"/>
    <col min="4" max="4" width="10.140625" style="3" customWidth="1"/>
    <col min="5" max="5" width="11.8515625" style="4" customWidth="1"/>
    <col min="6" max="9" width="17.28125" style="2" customWidth="1"/>
    <col min="10" max="11" width="14.421875" style="2" customWidth="1"/>
    <col min="12" max="12" width="10.421875" style="2" customWidth="1"/>
    <col min="13" max="13" width="9.421875" style="2" customWidth="1"/>
    <col min="14" max="14" width="13.8515625" style="2" customWidth="1"/>
    <col min="15" max="18" width="9.421875" style="2" customWidth="1"/>
    <col min="19" max="19" width="14.140625" style="2" customWidth="1"/>
    <col min="20" max="16384" width="9.421875" style="2" customWidth="1"/>
  </cols>
  <sheetData>
    <row r="1" spans="1:11" s="6" customFormat="1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4:8" ht="14.25">
      <c r="D2" s="7"/>
      <c r="E2" s="8"/>
      <c r="F2" s="3"/>
      <c r="G2" s="3"/>
      <c r="H2" s="3"/>
    </row>
    <row r="3" spans="4:11" ht="18">
      <c r="D3" s="9" t="s">
        <v>896</v>
      </c>
      <c r="E3" s="10"/>
      <c r="F3" s="10"/>
      <c r="G3" s="10"/>
      <c r="H3" s="11"/>
      <c r="J3" s="12"/>
      <c r="K3" s="13"/>
    </row>
    <row r="4" spans="4:11" ht="14.25">
      <c r="D4" s="14" t="s">
        <v>2</v>
      </c>
      <c r="E4" s="15"/>
      <c r="F4" s="16"/>
      <c r="G4" s="16"/>
      <c r="H4" s="17"/>
      <c r="J4" s="18"/>
      <c r="K4" s="13"/>
    </row>
    <row r="5" spans="4:11" ht="14.25">
      <c r="D5" s="19" t="s">
        <v>897</v>
      </c>
      <c r="E5" s="19"/>
      <c r="F5" s="19"/>
      <c r="G5" s="19"/>
      <c r="H5" s="17"/>
      <c r="J5" s="18"/>
      <c r="K5" s="13"/>
    </row>
    <row r="6" spans="4:11" ht="14.25">
      <c r="D6" s="20" t="s">
        <v>811</v>
      </c>
      <c r="E6" s="20"/>
      <c r="F6" s="20"/>
      <c r="G6" s="20"/>
      <c r="H6" s="17"/>
      <c r="J6" s="18"/>
      <c r="K6" s="13"/>
    </row>
    <row r="7" spans="4:11" ht="14.25">
      <c r="D7" s="19" t="s">
        <v>5</v>
      </c>
      <c r="E7" s="19"/>
      <c r="F7" s="19"/>
      <c r="G7" s="19"/>
      <c r="H7" s="17"/>
      <c r="J7" s="18"/>
      <c r="K7" s="13"/>
    </row>
    <row r="8" spans="10:11" ht="14.25">
      <c r="J8" s="13"/>
      <c r="K8" s="13"/>
    </row>
    <row r="9" spans="1:20" s="6" customFormat="1" ht="15" customHeight="1">
      <c r="A9" s="21" t="s">
        <v>6</v>
      </c>
      <c r="B9" s="21" t="s">
        <v>7</v>
      </c>
      <c r="C9" s="21" t="s">
        <v>8</v>
      </c>
      <c r="D9" s="21" t="s">
        <v>9</v>
      </c>
      <c r="E9" s="22" t="s">
        <v>10</v>
      </c>
      <c r="F9" s="21" t="s">
        <v>11</v>
      </c>
      <c r="G9" s="21"/>
      <c r="H9" s="23" t="s">
        <v>12</v>
      </c>
      <c r="I9" s="23"/>
      <c r="J9" s="24" t="s">
        <v>13</v>
      </c>
      <c r="K9" s="25" t="s">
        <v>14</v>
      </c>
      <c r="L9" s="26"/>
      <c r="M9" s="26"/>
      <c r="N9" s="26"/>
      <c r="O9" s="26"/>
      <c r="P9" s="27"/>
      <c r="Q9" s="27"/>
      <c r="R9" s="27"/>
      <c r="S9" s="27"/>
      <c r="T9" s="27"/>
    </row>
    <row r="10" spans="1:20" ht="13.5">
      <c r="A10" s="21"/>
      <c r="B10" s="21"/>
      <c r="C10" s="21"/>
      <c r="D10" s="21"/>
      <c r="E10" s="22"/>
      <c r="F10" s="28" t="s">
        <v>15</v>
      </c>
      <c r="G10" s="29" t="s">
        <v>16</v>
      </c>
      <c r="H10" s="29" t="s">
        <v>15</v>
      </c>
      <c r="I10" s="29" t="s">
        <v>16</v>
      </c>
      <c r="J10" s="29" t="s">
        <v>17</v>
      </c>
      <c r="K10" s="31">
        <f>E4</f>
        <v>0</v>
      </c>
      <c r="L10" s="32"/>
      <c r="M10" s="33"/>
      <c r="N10" s="33"/>
      <c r="O10" s="33"/>
      <c r="P10" s="32"/>
      <c r="Q10" s="32"/>
      <c r="R10" s="33"/>
      <c r="S10" s="33"/>
      <c r="T10" s="32"/>
    </row>
    <row r="11" spans="1:20" ht="13.5">
      <c r="A11" s="34" t="s">
        <v>18</v>
      </c>
      <c r="B11" s="3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42" customFormat="1" ht="13.5">
      <c r="A12" s="37" t="s">
        <v>20</v>
      </c>
      <c r="B12" s="43">
        <v>73672</v>
      </c>
      <c r="C12" s="39" t="s">
        <v>25</v>
      </c>
      <c r="D12" s="40" t="s">
        <v>23</v>
      </c>
      <c r="E12" s="41">
        <v>50.45</v>
      </c>
      <c r="F12" s="41"/>
      <c r="G12" s="41"/>
      <c r="H12" s="41"/>
      <c r="I12" s="41"/>
      <c r="J12" s="41"/>
      <c r="K12" s="41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2" customFormat="1" ht="23.25">
      <c r="A13" s="37" t="s">
        <v>24</v>
      </c>
      <c r="B13" s="38" t="s">
        <v>42</v>
      </c>
      <c r="C13" s="44" t="s">
        <v>43</v>
      </c>
      <c r="D13" s="40" t="s">
        <v>23</v>
      </c>
      <c r="E13" s="41">
        <v>29.74</v>
      </c>
      <c r="F13" s="41"/>
      <c r="G13" s="41"/>
      <c r="H13" s="41"/>
      <c r="I13" s="41"/>
      <c r="J13" s="41"/>
      <c r="K13" s="41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3.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3"/>
      <c r="K14" s="54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3.5">
      <c r="A15" s="34" t="s">
        <v>65</v>
      </c>
      <c r="B15" s="35" t="s">
        <v>66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91" customFormat="1" ht="14.25">
      <c r="A16" s="203" t="s">
        <v>67</v>
      </c>
      <c r="B16" s="329" t="s">
        <v>68</v>
      </c>
      <c r="C16" s="316" t="s">
        <v>69</v>
      </c>
      <c r="D16" s="196" t="s">
        <v>346</v>
      </c>
      <c r="E16" s="83">
        <f>E12*1.5</f>
        <v>75.67500000000001</v>
      </c>
      <c r="F16" s="83"/>
      <c r="G16" s="83"/>
      <c r="H16" s="83"/>
      <c r="I16" s="83"/>
      <c r="J16" s="83"/>
      <c r="K16" s="83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91" customFormat="1" ht="14.25">
      <c r="A17" s="203" t="s">
        <v>430</v>
      </c>
      <c r="B17" s="329" t="s">
        <v>428</v>
      </c>
      <c r="C17" s="316" t="s">
        <v>429</v>
      </c>
      <c r="D17" s="196" t="s">
        <v>23</v>
      </c>
      <c r="E17" s="83">
        <f>E12/3</f>
        <v>16.816666666666666</v>
      </c>
      <c r="F17" s="83"/>
      <c r="G17" s="83"/>
      <c r="H17" s="83"/>
      <c r="I17" s="83"/>
      <c r="J17" s="83"/>
      <c r="K17" s="83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91" customFormat="1" ht="14.25">
      <c r="A18" s="203" t="s">
        <v>70</v>
      </c>
      <c r="B18" s="207" t="s">
        <v>432</v>
      </c>
      <c r="C18" s="316" t="s">
        <v>433</v>
      </c>
      <c r="D18" s="196" t="s">
        <v>346</v>
      </c>
      <c r="E18" s="83">
        <v>5.99</v>
      </c>
      <c r="F18" s="83"/>
      <c r="G18" s="83"/>
      <c r="H18" s="83"/>
      <c r="I18" s="83"/>
      <c r="J18" s="83"/>
      <c r="K18" s="83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91" customFormat="1" ht="14.25">
      <c r="A19" s="203" t="s">
        <v>71</v>
      </c>
      <c r="B19" s="207" t="s">
        <v>434</v>
      </c>
      <c r="C19" s="316" t="s">
        <v>435</v>
      </c>
      <c r="D19" s="184" t="s">
        <v>23</v>
      </c>
      <c r="E19" s="83">
        <v>29.74</v>
      </c>
      <c r="F19" s="83"/>
      <c r="G19" s="83"/>
      <c r="H19" s="83"/>
      <c r="I19" s="83"/>
      <c r="J19" s="83"/>
      <c r="K19" s="83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91" customFormat="1" ht="23.25">
      <c r="A20" s="203" t="s">
        <v>72</v>
      </c>
      <c r="B20" s="207">
        <v>72915</v>
      </c>
      <c r="C20" s="316" t="s">
        <v>431</v>
      </c>
      <c r="D20" s="196" t="s">
        <v>346</v>
      </c>
      <c r="E20" s="83">
        <f>(0.6*0.6*0.6)+(1.9*1.1*1.4)+((3.14*((1.2/2)*(1.2/2)))*5)</f>
        <v>8.794</v>
      </c>
      <c r="F20" s="83"/>
      <c r="G20" s="83"/>
      <c r="H20" s="83"/>
      <c r="I20" s="83"/>
      <c r="J20" s="83"/>
      <c r="K20" s="83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197" customFormat="1" ht="14.25">
      <c r="A21" s="203" t="s">
        <v>73</v>
      </c>
      <c r="B21" s="207">
        <v>6430</v>
      </c>
      <c r="C21" s="316" t="s">
        <v>359</v>
      </c>
      <c r="D21" s="196" t="s">
        <v>346</v>
      </c>
      <c r="E21" s="83">
        <v>6.66</v>
      </c>
      <c r="F21" s="83"/>
      <c r="G21" s="83"/>
      <c r="H21" s="83"/>
      <c r="I21" s="83"/>
      <c r="J21" s="83"/>
      <c r="K21" s="83"/>
      <c r="L21" s="90"/>
      <c r="M21" s="90"/>
      <c r="N21" s="90"/>
      <c r="O21" s="90"/>
      <c r="P21" s="90"/>
      <c r="Q21" s="90"/>
      <c r="R21" s="90"/>
      <c r="S21" s="90"/>
      <c r="T21" s="90"/>
    </row>
    <row r="22" spans="1:20" ht="14.25">
      <c r="A22" s="67" t="s">
        <v>80</v>
      </c>
      <c r="B22" s="67"/>
      <c r="C22" s="67"/>
      <c r="D22" s="67"/>
      <c r="E22" s="67"/>
      <c r="F22" s="67"/>
      <c r="G22" s="67"/>
      <c r="H22" s="67"/>
      <c r="I22" s="67"/>
      <c r="J22" s="53"/>
      <c r="K22" s="260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3.5">
      <c r="A23" s="34" t="s">
        <v>81</v>
      </c>
      <c r="B23" s="35" t="s">
        <v>82</v>
      </c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42" customFormat="1" ht="13.5">
      <c r="A24" s="37" t="s">
        <v>83</v>
      </c>
      <c r="B24" s="37"/>
      <c r="C24" s="346" t="s">
        <v>898</v>
      </c>
      <c r="D24" s="283" t="s">
        <v>346</v>
      </c>
      <c r="E24" s="178">
        <v>2.8</v>
      </c>
      <c r="F24" s="178"/>
      <c r="G24" s="178"/>
      <c r="H24" s="178"/>
      <c r="I24" s="178"/>
      <c r="J24" s="178"/>
      <c r="K24" s="178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42" customFormat="1" ht="13.5">
      <c r="A25" s="37" t="s">
        <v>84</v>
      </c>
      <c r="B25" s="37"/>
      <c r="C25" s="176" t="s">
        <v>899</v>
      </c>
      <c r="D25" s="177" t="s">
        <v>346</v>
      </c>
      <c r="E25" s="178">
        <v>2</v>
      </c>
      <c r="F25" s="178"/>
      <c r="G25" s="178"/>
      <c r="H25" s="178"/>
      <c r="I25" s="178"/>
      <c r="J25" s="178"/>
      <c r="K25" s="178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2" customFormat="1" ht="13.5">
      <c r="A26" s="37" t="s">
        <v>85</v>
      </c>
      <c r="B26" s="37"/>
      <c r="C26" s="176" t="s">
        <v>436</v>
      </c>
      <c r="D26" s="177" t="s">
        <v>23</v>
      </c>
      <c r="E26" s="178">
        <v>31.3</v>
      </c>
      <c r="F26" s="178"/>
      <c r="G26" s="178"/>
      <c r="H26" s="178"/>
      <c r="I26" s="178"/>
      <c r="J26" s="178"/>
      <c r="K26" s="178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13.5">
      <c r="A27" s="37" t="s">
        <v>86</v>
      </c>
      <c r="B27" s="37"/>
      <c r="C27" s="176" t="s">
        <v>900</v>
      </c>
      <c r="D27" s="177" t="s">
        <v>346</v>
      </c>
      <c r="E27" s="178">
        <f>E13*0.07</f>
        <v>2.0818</v>
      </c>
      <c r="F27" s="178"/>
      <c r="G27" s="178"/>
      <c r="H27" s="178"/>
      <c r="I27" s="178"/>
      <c r="J27" s="266"/>
      <c r="K27" s="178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42" customFormat="1" ht="13.5">
      <c r="A28" s="37" t="s">
        <v>87</v>
      </c>
      <c r="B28" s="37" t="s">
        <v>437</v>
      </c>
      <c r="C28" s="176" t="s">
        <v>438</v>
      </c>
      <c r="D28" s="177" t="s">
        <v>346</v>
      </c>
      <c r="E28" s="178">
        <v>2.8</v>
      </c>
      <c r="F28" s="178"/>
      <c r="G28" s="178"/>
      <c r="H28" s="178"/>
      <c r="I28" s="178"/>
      <c r="J28" s="178"/>
      <c r="K28" s="178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42" customFormat="1" ht="13.5">
      <c r="A29" s="37" t="s">
        <v>88</v>
      </c>
      <c r="B29" s="37" t="s">
        <v>439</v>
      </c>
      <c r="C29" s="176" t="s">
        <v>440</v>
      </c>
      <c r="D29" s="177" t="s">
        <v>346</v>
      </c>
      <c r="E29" s="178">
        <v>2.8</v>
      </c>
      <c r="F29" s="178"/>
      <c r="G29" s="178"/>
      <c r="H29" s="178"/>
      <c r="I29" s="178"/>
      <c r="J29" s="178"/>
      <c r="K29" s="178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42" customFormat="1" ht="13.5">
      <c r="A30" s="37" t="s">
        <v>89</v>
      </c>
      <c r="B30" s="37"/>
      <c r="C30" s="176" t="s">
        <v>441</v>
      </c>
      <c r="D30" s="177" t="s">
        <v>346</v>
      </c>
      <c r="E30" s="178">
        <v>0.46</v>
      </c>
      <c r="F30" s="178"/>
      <c r="G30" s="178"/>
      <c r="H30" s="178"/>
      <c r="I30" s="178"/>
      <c r="J30" s="178"/>
      <c r="K30" s="178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42" customFormat="1" ht="13.5">
      <c r="A31" s="37" t="s">
        <v>90</v>
      </c>
      <c r="B31" s="37"/>
      <c r="C31" s="176" t="s">
        <v>442</v>
      </c>
      <c r="D31" s="177" t="s">
        <v>346</v>
      </c>
      <c r="E31" s="178">
        <v>2.97</v>
      </c>
      <c r="F31" s="178"/>
      <c r="G31" s="178"/>
      <c r="H31" s="178"/>
      <c r="I31" s="178"/>
      <c r="J31" s="178"/>
      <c r="K31" s="178"/>
      <c r="L31" s="36"/>
      <c r="M31" s="36"/>
      <c r="N31" s="36"/>
      <c r="O31" s="36"/>
      <c r="P31" s="36"/>
      <c r="Q31" s="36"/>
      <c r="R31" s="36"/>
      <c r="S31" s="36"/>
      <c r="T31" s="36"/>
    </row>
    <row r="32" spans="1:20" s="42" customFormat="1" ht="13.5">
      <c r="A32" s="37" t="s">
        <v>91</v>
      </c>
      <c r="B32" s="37" t="s">
        <v>439</v>
      </c>
      <c r="C32" s="176" t="s">
        <v>443</v>
      </c>
      <c r="D32" s="177" t="s">
        <v>346</v>
      </c>
      <c r="E32" s="178">
        <v>2.97</v>
      </c>
      <c r="F32" s="178"/>
      <c r="G32" s="178"/>
      <c r="H32" s="178"/>
      <c r="I32" s="178"/>
      <c r="J32" s="178"/>
      <c r="K32" s="178"/>
      <c r="L32" s="36"/>
      <c r="M32" s="36"/>
      <c r="N32" s="36"/>
      <c r="O32" s="36"/>
      <c r="P32" s="36"/>
      <c r="Q32" s="36"/>
      <c r="R32" s="36"/>
      <c r="S32" s="36"/>
      <c r="T32" s="36"/>
    </row>
    <row r="33" spans="1:20" s="42" customFormat="1" ht="13.5">
      <c r="A33" s="37" t="s">
        <v>92</v>
      </c>
      <c r="B33" s="37"/>
      <c r="C33" s="176" t="s">
        <v>444</v>
      </c>
      <c r="D33" s="177" t="s">
        <v>23</v>
      </c>
      <c r="E33" s="178">
        <v>8.6</v>
      </c>
      <c r="F33" s="178"/>
      <c r="G33" s="178"/>
      <c r="H33" s="178"/>
      <c r="I33" s="178"/>
      <c r="J33" s="178"/>
      <c r="K33" s="178"/>
      <c r="L33" s="36"/>
      <c r="M33" s="36"/>
      <c r="N33" s="36"/>
      <c r="O33" s="36"/>
      <c r="P33" s="36"/>
      <c r="Q33" s="36"/>
      <c r="R33" s="36"/>
      <c r="S33" s="36"/>
      <c r="T33" s="36"/>
    </row>
    <row r="34" spans="1:20" s="42" customFormat="1" ht="23.25">
      <c r="A34" s="37" t="s">
        <v>901</v>
      </c>
      <c r="B34" s="179" t="s">
        <v>445</v>
      </c>
      <c r="C34" s="180" t="s">
        <v>446</v>
      </c>
      <c r="D34" s="177" t="s">
        <v>447</v>
      </c>
      <c r="E34" s="178">
        <v>90.5</v>
      </c>
      <c r="F34" s="178"/>
      <c r="G34" s="178"/>
      <c r="H34" s="178"/>
      <c r="I34" s="178"/>
      <c r="J34" s="178"/>
      <c r="K34" s="178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3.5">
      <c r="A35" s="67" t="s">
        <v>93</v>
      </c>
      <c r="B35" s="67"/>
      <c r="C35" s="67"/>
      <c r="D35" s="67"/>
      <c r="E35" s="67"/>
      <c r="F35" s="67"/>
      <c r="G35" s="67"/>
      <c r="H35" s="67"/>
      <c r="I35" s="67"/>
      <c r="J35" s="53"/>
      <c r="K35" s="53"/>
      <c r="L35" s="68"/>
      <c r="M35" s="36"/>
      <c r="N35" s="36"/>
      <c r="O35" s="36"/>
      <c r="P35" s="36"/>
      <c r="Q35" s="36"/>
      <c r="R35" s="36"/>
      <c r="S35" s="36"/>
      <c r="T35" s="36"/>
    </row>
    <row r="36" spans="1:22" s="73" customFormat="1" ht="13.5">
      <c r="A36" s="69" t="s">
        <v>94</v>
      </c>
      <c r="B36" s="70" t="s">
        <v>95</v>
      </c>
      <c r="C36" s="70"/>
      <c r="D36" s="70"/>
      <c r="E36" s="70"/>
      <c r="F36" s="70"/>
      <c r="G36" s="70"/>
      <c r="H36" s="70"/>
      <c r="I36" s="70"/>
      <c r="J36" s="70"/>
      <c r="K36" s="70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s="261" customFormat="1" ht="14.25">
      <c r="A37" s="182" t="s">
        <v>96</v>
      </c>
      <c r="B37" s="183"/>
      <c r="C37" s="183" t="s">
        <v>448</v>
      </c>
      <c r="D37" s="184" t="s">
        <v>346</v>
      </c>
      <c r="E37" s="185">
        <v>0.16</v>
      </c>
      <c r="F37" s="186"/>
      <c r="G37" s="186"/>
      <c r="H37" s="186"/>
      <c r="I37" s="186"/>
      <c r="J37" s="186"/>
      <c r="K37" s="185"/>
      <c r="L37" s="187"/>
      <c r="M37" s="188"/>
      <c r="N37" s="188"/>
      <c r="O37" s="188"/>
      <c r="P37" s="188"/>
      <c r="Q37" s="188"/>
      <c r="R37" s="188"/>
      <c r="S37" s="188"/>
      <c r="T37" s="188"/>
      <c r="U37" s="188"/>
      <c r="V37" s="188"/>
    </row>
    <row r="38" spans="1:22" s="261" customFormat="1" ht="23.25">
      <c r="A38" s="182" t="s">
        <v>97</v>
      </c>
      <c r="B38" s="182"/>
      <c r="C38" s="190" t="s">
        <v>449</v>
      </c>
      <c r="D38" s="184" t="s">
        <v>23</v>
      </c>
      <c r="E38" s="185">
        <v>44</v>
      </c>
      <c r="F38" s="186"/>
      <c r="G38" s="186"/>
      <c r="H38" s="186"/>
      <c r="I38" s="186"/>
      <c r="J38" s="191"/>
      <c r="K38" s="192"/>
      <c r="L38" s="187"/>
      <c r="M38" s="188"/>
      <c r="N38" s="188"/>
      <c r="O38" s="188"/>
      <c r="P38" s="188"/>
      <c r="Q38" s="188"/>
      <c r="R38" s="188"/>
      <c r="S38" s="188"/>
      <c r="T38" s="188"/>
      <c r="U38" s="188"/>
      <c r="V38" s="188"/>
    </row>
    <row r="39" spans="1:22" s="261" customFormat="1" ht="23.25">
      <c r="A39" s="182" t="s">
        <v>98</v>
      </c>
      <c r="B39" s="182"/>
      <c r="C39" s="190" t="s">
        <v>450</v>
      </c>
      <c r="D39" s="184" t="s">
        <v>23</v>
      </c>
      <c r="E39" s="185">
        <v>66.3</v>
      </c>
      <c r="F39" s="186"/>
      <c r="G39" s="186"/>
      <c r="H39" s="186"/>
      <c r="I39" s="186"/>
      <c r="J39" s="191"/>
      <c r="K39" s="192"/>
      <c r="L39" s="187"/>
      <c r="M39" s="188"/>
      <c r="N39" s="188"/>
      <c r="O39" s="188"/>
      <c r="P39" s="188"/>
      <c r="Q39" s="188"/>
      <c r="R39" s="188"/>
      <c r="S39" s="188"/>
      <c r="T39" s="188"/>
      <c r="U39" s="188"/>
      <c r="V39" s="188"/>
    </row>
    <row r="40" spans="1:22" s="261" customFormat="1" ht="14.25">
      <c r="A40" s="182" t="s">
        <v>99</v>
      </c>
      <c r="B40" s="86" t="s">
        <v>437</v>
      </c>
      <c r="C40" s="183" t="s">
        <v>451</v>
      </c>
      <c r="D40" s="184" t="s">
        <v>346</v>
      </c>
      <c r="E40" s="185">
        <v>4.2</v>
      </c>
      <c r="F40" s="186"/>
      <c r="G40" s="186"/>
      <c r="H40" s="186"/>
      <c r="I40" s="186"/>
      <c r="J40" s="191"/>
      <c r="K40" s="192"/>
      <c r="L40" s="187"/>
      <c r="M40" s="188"/>
      <c r="N40" s="188"/>
      <c r="O40" s="188"/>
      <c r="P40" s="188"/>
      <c r="Q40" s="188"/>
      <c r="R40" s="188"/>
      <c r="S40" s="188"/>
      <c r="T40" s="188"/>
      <c r="U40" s="188"/>
      <c r="V40" s="188"/>
    </row>
    <row r="41" spans="1:22" s="261" customFormat="1" ht="14.25">
      <c r="A41" s="182" t="s">
        <v>100</v>
      </c>
      <c r="B41" s="182" t="s">
        <v>452</v>
      </c>
      <c r="C41" s="183" t="s">
        <v>453</v>
      </c>
      <c r="D41" s="184" t="s">
        <v>346</v>
      </c>
      <c r="E41" s="185">
        <v>4.2</v>
      </c>
      <c r="F41" s="186"/>
      <c r="G41" s="186"/>
      <c r="H41" s="186"/>
      <c r="I41" s="186"/>
      <c r="J41" s="191"/>
      <c r="K41" s="192"/>
      <c r="L41" s="187"/>
      <c r="M41" s="188"/>
      <c r="N41" s="188"/>
      <c r="O41" s="188"/>
      <c r="P41" s="188"/>
      <c r="Q41" s="188"/>
      <c r="R41" s="188"/>
      <c r="S41" s="188"/>
      <c r="T41" s="188"/>
      <c r="U41" s="188"/>
      <c r="V41" s="188"/>
    </row>
    <row r="42" spans="1:22" s="261" customFormat="1" ht="14.25">
      <c r="A42" s="182" t="s">
        <v>101</v>
      </c>
      <c r="B42" s="86" t="s">
        <v>437</v>
      </c>
      <c r="C42" s="183" t="s">
        <v>454</v>
      </c>
      <c r="D42" s="184" t="s">
        <v>346</v>
      </c>
      <c r="E42" s="185">
        <v>2.4</v>
      </c>
      <c r="F42" s="186"/>
      <c r="G42" s="186"/>
      <c r="H42" s="186"/>
      <c r="I42" s="186"/>
      <c r="J42" s="191"/>
      <c r="K42" s="192"/>
      <c r="L42" s="187"/>
      <c r="M42" s="188"/>
      <c r="N42" s="188"/>
      <c r="O42" s="188"/>
      <c r="P42" s="188"/>
      <c r="Q42" s="188"/>
      <c r="R42" s="188"/>
      <c r="S42" s="188"/>
      <c r="T42" s="188"/>
      <c r="U42" s="188"/>
      <c r="V42" s="188"/>
    </row>
    <row r="43" spans="1:22" s="261" customFormat="1" ht="14.25">
      <c r="A43" s="182" t="s">
        <v>102</v>
      </c>
      <c r="B43" s="182" t="s">
        <v>452</v>
      </c>
      <c r="C43" s="183" t="s">
        <v>455</v>
      </c>
      <c r="D43" s="184" t="s">
        <v>346</v>
      </c>
      <c r="E43" s="185">
        <v>2.4</v>
      </c>
      <c r="F43" s="186"/>
      <c r="G43" s="186"/>
      <c r="H43" s="186"/>
      <c r="I43" s="186"/>
      <c r="J43" s="191"/>
      <c r="K43" s="192"/>
      <c r="L43" s="187"/>
      <c r="M43" s="188"/>
      <c r="N43" s="188"/>
      <c r="O43" s="188"/>
      <c r="P43" s="188"/>
      <c r="Q43" s="188"/>
      <c r="R43" s="188"/>
      <c r="S43" s="188"/>
      <c r="T43" s="188"/>
      <c r="U43" s="188"/>
      <c r="V43" s="188"/>
    </row>
    <row r="44" spans="1:22" s="261" customFormat="1" ht="23.25">
      <c r="A44" s="182" t="s">
        <v>103</v>
      </c>
      <c r="B44" s="311" t="s">
        <v>445</v>
      </c>
      <c r="C44" s="183" t="s">
        <v>456</v>
      </c>
      <c r="D44" s="184" t="s">
        <v>447</v>
      </c>
      <c r="E44" s="185">
        <v>185.1</v>
      </c>
      <c r="F44" s="186"/>
      <c r="G44" s="186"/>
      <c r="H44" s="186"/>
      <c r="I44" s="186"/>
      <c r="J44" s="191"/>
      <c r="K44" s="192"/>
      <c r="L44" s="187"/>
      <c r="M44" s="188"/>
      <c r="N44" s="188"/>
      <c r="O44" s="188"/>
      <c r="P44" s="188"/>
      <c r="Q44" s="188"/>
      <c r="R44" s="188"/>
      <c r="S44" s="188"/>
      <c r="T44" s="188"/>
      <c r="U44" s="188"/>
      <c r="V44" s="188"/>
    </row>
    <row r="45" spans="1:22" s="261" customFormat="1" ht="14.25">
      <c r="A45" s="182" t="s">
        <v>104</v>
      </c>
      <c r="B45" s="86" t="s">
        <v>457</v>
      </c>
      <c r="C45" s="183" t="s">
        <v>458</v>
      </c>
      <c r="D45" s="184" t="s">
        <v>447</v>
      </c>
      <c r="E45" s="185">
        <v>65.8</v>
      </c>
      <c r="F45" s="186"/>
      <c r="G45" s="186"/>
      <c r="H45" s="186"/>
      <c r="I45" s="186"/>
      <c r="J45" s="191"/>
      <c r="K45" s="192"/>
      <c r="L45" s="187"/>
      <c r="M45" s="188"/>
      <c r="N45" s="188"/>
      <c r="O45" s="188"/>
      <c r="P45" s="188"/>
      <c r="Q45" s="188"/>
      <c r="R45" s="188"/>
      <c r="S45" s="188"/>
      <c r="T45" s="188"/>
      <c r="U45" s="188"/>
      <c r="V45" s="188"/>
    </row>
    <row r="46" spans="1:22" s="261" customFormat="1" ht="23.25">
      <c r="A46" s="182" t="s">
        <v>105</v>
      </c>
      <c r="B46" s="311" t="s">
        <v>445</v>
      </c>
      <c r="C46" s="183" t="s">
        <v>459</v>
      </c>
      <c r="D46" s="184" t="s">
        <v>447</v>
      </c>
      <c r="E46" s="185">
        <v>125.3</v>
      </c>
      <c r="F46" s="186"/>
      <c r="G46" s="186"/>
      <c r="H46" s="186"/>
      <c r="I46" s="186"/>
      <c r="J46" s="191"/>
      <c r="K46" s="192"/>
      <c r="L46" s="187"/>
      <c r="M46" s="188"/>
      <c r="N46" s="188"/>
      <c r="O46" s="188"/>
      <c r="P46" s="188"/>
      <c r="Q46" s="188"/>
      <c r="R46" s="188"/>
      <c r="S46" s="188"/>
      <c r="T46" s="188"/>
      <c r="U46" s="188"/>
      <c r="V46" s="188"/>
    </row>
    <row r="47" spans="1:22" s="261" customFormat="1" ht="14.25">
      <c r="A47" s="182" t="s">
        <v>460</v>
      </c>
      <c r="B47" s="86" t="s">
        <v>457</v>
      </c>
      <c r="C47" s="183" t="s">
        <v>461</v>
      </c>
      <c r="D47" s="184" t="s">
        <v>447</v>
      </c>
      <c r="E47" s="185">
        <v>68.4</v>
      </c>
      <c r="F47" s="186"/>
      <c r="G47" s="186"/>
      <c r="H47" s="186"/>
      <c r="I47" s="186"/>
      <c r="J47" s="191"/>
      <c r="K47" s="192"/>
      <c r="L47" s="187"/>
      <c r="M47" s="188"/>
      <c r="N47" s="188"/>
      <c r="O47" s="188"/>
      <c r="P47" s="188"/>
      <c r="Q47" s="188"/>
      <c r="R47" s="188"/>
      <c r="S47" s="188"/>
      <c r="T47" s="188"/>
      <c r="U47" s="188"/>
      <c r="V47" s="188"/>
    </row>
    <row r="48" spans="1:22" s="261" customFormat="1" ht="23.25">
      <c r="A48" s="182" t="s">
        <v>462</v>
      </c>
      <c r="B48" s="182"/>
      <c r="C48" s="190" t="s">
        <v>884</v>
      </c>
      <c r="D48" s="184" t="s">
        <v>23</v>
      </c>
      <c r="E48" s="185">
        <v>2.54</v>
      </c>
      <c r="F48" s="186"/>
      <c r="G48" s="186"/>
      <c r="H48" s="186"/>
      <c r="I48" s="186"/>
      <c r="J48" s="191"/>
      <c r="K48" s="192"/>
      <c r="L48" s="187"/>
      <c r="M48" s="188"/>
      <c r="N48" s="188"/>
      <c r="O48" s="188"/>
      <c r="P48" s="188"/>
      <c r="Q48" s="188"/>
      <c r="R48" s="188"/>
      <c r="S48" s="188"/>
      <c r="T48" s="188"/>
      <c r="U48" s="188"/>
      <c r="V48" s="188"/>
    </row>
    <row r="49" spans="1:22" s="261" customFormat="1" ht="14.25">
      <c r="A49" s="182" t="s">
        <v>705</v>
      </c>
      <c r="B49" s="182"/>
      <c r="C49" s="183" t="s">
        <v>465</v>
      </c>
      <c r="D49" s="184" t="s">
        <v>391</v>
      </c>
      <c r="E49" s="185">
        <v>291</v>
      </c>
      <c r="F49" s="186"/>
      <c r="G49" s="186"/>
      <c r="H49" s="186"/>
      <c r="I49" s="186"/>
      <c r="J49" s="191"/>
      <c r="K49" s="192"/>
      <c r="L49" s="187"/>
      <c r="M49" s="188"/>
      <c r="N49" s="188"/>
      <c r="O49" s="188"/>
      <c r="P49" s="188"/>
      <c r="Q49" s="188"/>
      <c r="R49" s="188"/>
      <c r="S49" s="188"/>
      <c r="T49" s="188"/>
      <c r="U49" s="188"/>
      <c r="V49" s="188"/>
    </row>
    <row r="50" spans="1:22" s="261" customFormat="1" ht="14.25">
      <c r="A50" s="182" t="s">
        <v>464</v>
      </c>
      <c r="B50" s="86" t="s">
        <v>437</v>
      </c>
      <c r="C50" s="183" t="s">
        <v>467</v>
      </c>
      <c r="D50" s="184" t="s">
        <v>346</v>
      </c>
      <c r="E50" s="185">
        <v>1.1</v>
      </c>
      <c r="F50" s="186"/>
      <c r="G50" s="186"/>
      <c r="H50" s="186"/>
      <c r="I50" s="186"/>
      <c r="J50" s="191"/>
      <c r="K50" s="192"/>
      <c r="L50" s="187"/>
      <c r="M50" s="188"/>
      <c r="N50" s="188"/>
      <c r="O50" s="188"/>
      <c r="P50" s="188"/>
      <c r="Q50" s="188"/>
      <c r="R50" s="188"/>
      <c r="S50" s="188"/>
      <c r="T50" s="188"/>
      <c r="U50" s="188"/>
      <c r="V50" s="188"/>
    </row>
    <row r="51" spans="1:22" s="78" customFormat="1" ht="13.5">
      <c r="A51" s="182" t="s">
        <v>707</v>
      </c>
      <c r="B51" s="182" t="s">
        <v>452</v>
      </c>
      <c r="C51" s="183" t="s">
        <v>469</v>
      </c>
      <c r="D51" s="184" t="s">
        <v>346</v>
      </c>
      <c r="E51" s="185">
        <v>1.1</v>
      </c>
      <c r="F51" s="186"/>
      <c r="G51" s="186"/>
      <c r="H51" s="186"/>
      <c r="I51" s="186"/>
      <c r="J51" s="191"/>
      <c r="K51" s="192"/>
      <c r="L51" s="71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s="73" customFormat="1" ht="13.5">
      <c r="A52" s="79" t="s">
        <v>106</v>
      </c>
      <c r="B52" s="79"/>
      <c r="C52" s="79"/>
      <c r="D52" s="79"/>
      <c r="E52" s="79"/>
      <c r="F52" s="79"/>
      <c r="G52" s="79"/>
      <c r="H52" s="79"/>
      <c r="I52" s="79"/>
      <c r="J52" s="53"/>
      <c r="K52" s="53"/>
      <c r="L52" s="80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s="78" customFormat="1" ht="13.5">
      <c r="A53" s="74" t="s">
        <v>107</v>
      </c>
      <c r="B53" s="81" t="s">
        <v>108</v>
      </c>
      <c r="C53" s="81"/>
      <c r="D53" s="81"/>
      <c r="E53" s="81"/>
      <c r="F53" s="81"/>
      <c r="G53" s="81"/>
      <c r="H53" s="81"/>
      <c r="I53" s="81"/>
      <c r="J53" s="81"/>
      <c r="K53" s="81"/>
      <c r="L53" s="71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0" s="42" customFormat="1" ht="23.25">
      <c r="A54" s="37" t="s">
        <v>109</v>
      </c>
      <c r="B54" s="38" t="s">
        <v>470</v>
      </c>
      <c r="C54" s="44" t="s">
        <v>471</v>
      </c>
      <c r="D54" s="40" t="s">
        <v>23</v>
      </c>
      <c r="E54" s="41">
        <f>(2.85*2.5*2)+(0.83*10.8)</f>
        <v>23.214000000000002</v>
      </c>
      <c r="F54" s="41"/>
      <c r="G54" s="41"/>
      <c r="H54" s="41"/>
      <c r="I54" s="41"/>
      <c r="J54" s="41"/>
      <c r="K54" s="77"/>
      <c r="L54" s="68"/>
      <c r="M54" s="36"/>
      <c r="N54" s="36"/>
      <c r="O54" s="36"/>
      <c r="P54" s="36"/>
      <c r="Q54" s="36"/>
      <c r="R54" s="36"/>
      <c r="S54" s="36"/>
      <c r="T54" s="36"/>
    </row>
    <row r="55" spans="1:20" s="42" customFormat="1" ht="23.25">
      <c r="A55" s="37" t="s">
        <v>110</v>
      </c>
      <c r="B55" s="38" t="s">
        <v>472</v>
      </c>
      <c r="C55" s="44" t="s">
        <v>473</v>
      </c>
      <c r="D55" s="40" t="s">
        <v>23</v>
      </c>
      <c r="E55" s="41">
        <f>2.85*21.6</f>
        <v>61.56000000000001</v>
      </c>
      <c r="F55" s="41"/>
      <c r="G55" s="41"/>
      <c r="H55" s="41"/>
      <c r="I55" s="41"/>
      <c r="J55" s="41"/>
      <c r="K55" s="41"/>
      <c r="L55" s="36"/>
      <c r="M55" s="36"/>
      <c r="N55" s="36"/>
      <c r="O55" s="36"/>
      <c r="P55" s="36"/>
      <c r="Q55" s="36"/>
      <c r="R55" s="36"/>
      <c r="S55" s="36"/>
      <c r="T55" s="36"/>
    </row>
    <row r="56" spans="1:20" s="42" customFormat="1" ht="24.75" customHeight="1">
      <c r="A56" s="37" t="s">
        <v>111</v>
      </c>
      <c r="B56" s="38" t="s">
        <v>475</v>
      </c>
      <c r="C56" s="44" t="s">
        <v>476</v>
      </c>
      <c r="D56" s="40" t="s">
        <v>346</v>
      </c>
      <c r="E56" s="41">
        <f>(0.2*0.1)*(2.1+2.4+1.1+1.1)</f>
        <v>0.134</v>
      </c>
      <c r="F56" s="41"/>
      <c r="G56" s="41"/>
      <c r="H56" s="41"/>
      <c r="I56" s="41"/>
      <c r="J56" s="41"/>
      <c r="K56" s="41"/>
      <c r="L56" s="36"/>
      <c r="M56" s="36"/>
      <c r="N56" s="36"/>
      <c r="O56" s="36"/>
      <c r="P56" s="36"/>
      <c r="Q56" s="36"/>
      <c r="R56" s="36"/>
      <c r="S56" s="36"/>
      <c r="T56" s="36"/>
    </row>
    <row r="57" spans="1:22" s="73" customFormat="1" ht="13.5">
      <c r="A57" s="79" t="s">
        <v>119</v>
      </c>
      <c r="B57" s="79"/>
      <c r="C57" s="79"/>
      <c r="D57" s="79"/>
      <c r="E57" s="79"/>
      <c r="F57" s="79"/>
      <c r="G57" s="79"/>
      <c r="H57" s="79"/>
      <c r="I57" s="79"/>
      <c r="J57" s="53"/>
      <c r="K57" s="53"/>
      <c r="L57" s="80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0" s="42" customFormat="1" ht="15.75" customHeight="1">
      <c r="A58" s="34" t="s">
        <v>120</v>
      </c>
      <c r="B58" s="35" t="s">
        <v>121</v>
      </c>
      <c r="C58" s="35"/>
      <c r="D58" s="35"/>
      <c r="E58" s="35"/>
      <c r="F58" s="35"/>
      <c r="G58" s="35"/>
      <c r="H58" s="35"/>
      <c r="I58" s="35"/>
      <c r="J58" s="35"/>
      <c r="K58" s="35"/>
      <c r="L58" s="68"/>
      <c r="M58" s="36"/>
      <c r="N58" s="36"/>
      <c r="O58" s="36"/>
      <c r="P58" s="36"/>
      <c r="Q58" s="36"/>
      <c r="R58" s="36"/>
      <c r="S58" s="36"/>
      <c r="T58" s="36"/>
    </row>
    <row r="59" spans="1:20" s="42" customFormat="1" ht="23.25">
      <c r="A59" s="82" t="s">
        <v>122</v>
      </c>
      <c r="B59" s="38" t="s">
        <v>492</v>
      </c>
      <c r="C59" s="44" t="s">
        <v>821</v>
      </c>
      <c r="D59" s="40" t="s">
        <v>391</v>
      </c>
      <c r="E59" s="295">
        <v>1</v>
      </c>
      <c r="F59" s="83"/>
      <c r="G59" s="83"/>
      <c r="H59" s="83"/>
      <c r="I59" s="83"/>
      <c r="J59" s="83"/>
      <c r="K59" s="41"/>
      <c r="L59" s="36"/>
      <c r="M59" s="36"/>
      <c r="N59" s="36"/>
      <c r="O59" s="36"/>
      <c r="P59" s="36"/>
      <c r="Q59" s="36"/>
      <c r="R59" s="36"/>
      <c r="S59" s="36"/>
      <c r="T59" s="36"/>
    </row>
    <row r="60" spans="1:20" s="42" customFormat="1" ht="13.5">
      <c r="A60" s="82" t="s">
        <v>123</v>
      </c>
      <c r="B60" s="75" t="s">
        <v>720</v>
      </c>
      <c r="C60" s="39" t="s">
        <v>721</v>
      </c>
      <c r="D60" s="40" t="s">
        <v>391</v>
      </c>
      <c r="E60" s="83">
        <v>1</v>
      </c>
      <c r="F60" s="83"/>
      <c r="G60" s="83"/>
      <c r="H60" s="83"/>
      <c r="I60" s="83"/>
      <c r="J60" s="83"/>
      <c r="K60" s="41"/>
      <c r="L60" s="36"/>
      <c r="M60" s="36"/>
      <c r="N60" s="36"/>
      <c r="O60" s="36"/>
      <c r="P60" s="36"/>
      <c r="Q60" s="36"/>
      <c r="R60" s="36"/>
      <c r="S60" s="36"/>
      <c r="T60" s="36"/>
    </row>
    <row r="61" spans="1:20" s="42" customFormat="1" ht="13.5">
      <c r="A61" s="82" t="s">
        <v>124</v>
      </c>
      <c r="B61" s="38" t="s">
        <v>495</v>
      </c>
      <c r="C61" s="44" t="s">
        <v>496</v>
      </c>
      <c r="D61" s="40" t="s">
        <v>391</v>
      </c>
      <c r="E61" s="83">
        <v>1</v>
      </c>
      <c r="F61" s="83"/>
      <c r="G61" s="83"/>
      <c r="H61" s="83"/>
      <c r="I61" s="83"/>
      <c r="J61" s="83"/>
      <c r="K61" s="41"/>
      <c r="L61" s="36"/>
      <c r="M61" s="36"/>
      <c r="N61" s="36"/>
      <c r="O61" s="36"/>
      <c r="P61" s="36"/>
      <c r="Q61" s="36"/>
      <c r="R61" s="36"/>
      <c r="S61" s="36"/>
      <c r="T61" s="36"/>
    </row>
    <row r="62" spans="1:20" s="42" customFormat="1" ht="23.25">
      <c r="A62" s="82" t="s">
        <v>125</v>
      </c>
      <c r="B62" s="38" t="s">
        <v>492</v>
      </c>
      <c r="C62" s="44" t="s">
        <v>889</v>
      </c>
      <c r="D62" s="40" t="s">
        <v>391</v>
      </c>
      <c r="E62" s="83">
        <v>1</v>
      </c>
      <c r="F62" s="83"/>
      <c r="G62" s="83"/>
      <c r="H62" s="83"/>
      <c r="I62" s="83"/>
      <c r="J62" s="83"/>
      <c r="K62" s="41"/>
      <c r="L62" s="36"/>
      <c r="M62" s="36"/>
      <c r="N62" s="36"/>
      <c r="O62" s="36"/>
      <c r="P62" s="36"/>
      <c r="Q62" s="36"/>
      <c r="R62" s="36"/>
      <c r="S62" s="36"/>
      <c r="T62" s="36"/>
    </row>
    <row r="63" spans="1:20" s="42" customFormat="1" ht="23.25">
      <c r="A63" s="82" t="s">
        <v>126</v>
      </c>
      <c r="B63" s="38" t="s">
        <v>486</v>
      </c>
      <c r="C63" s="44" t="s">
        <v>823</v>
      </c>
      <c r="D63" s="40" t="s">
        <v>391</v>
      </c>
      <c r="E63" s="83">
        <v>2</v>
      </c>
      <c r="F63" s="83"/>
      <c r="G63" s="83"/>
      <c r="H63" s="83"/>
      <c r="I63" s="83"/>
      <c r="J63" s="83"/>
      <c r="K63" s="41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42" customFormat="1" ht="13.5">
      <c r="A64" s="82" t="s">
        <v>127</v>
      </c>
      <c r="B64" s="38" t="s">
        <v>512</v>
      </c>
      <c r="C64" s="44" t="s">
        <v>825</v>
      </c>
      <c r="D64" s="40" t="s">
        <v>391</v>
      </c>
      <c r="E64" s="41">
        <v>1</v>
      </c>
      <c r="F64" s="83"/>
      <c r="G64" s="83"/>
      <c r="H64" s="83"/>
      <c r="I64" s="83"/>
      <c r="J64" s="83"/>
      <c r="K64" s="41"/>
      <c r="L64" s="36"/>
      <c r="M64" s="36"/>
      <c r="N64" s="36"/>
      <c r="O64" s="36"/>
      <c r="P64" s="36"/>
      <c r="Q64" s="36"/>
      <c r="R64" s="36"/>
      <c r="S64" s="36"/>
      <c r="T64" s="36"/>
    </row>
    <row r="65" spans="1:20" s="42" customFormat="1" ht="13.5">
      <c r="A65" s="82" t="s">
        <v>128</v>
      </c>
      <c r="B65" s="120" t="s">
        <v>506</v>
      </c>
      <c r="C65" s="44" t="s">
        <v>732</v>
      </c>
      <c r="D65" s="40" t="s">
        <v>391</v>
      </c>
      <c r="E65" s="41">
        <v>2</v>
      </c>
      <c r="F65" s="83"/>
      <c r="G65" s="83"/>
      <c r="H65" s="83"/>
      <c r="I65" s="83"/>
      <c r="J65" s="83"/>
      <c r="K65" s="41"/>
      <c r="L65" s="36"/>
      <c r="M65" s="36"/>
      <c r="N65" s="36"/>
      <c r="O65" s="36"/>
      <c r="P65" s="36"/>
      <c r="Q65" s="36"/>
      <c r="R65" s="36"/>
      <c r="S65" s="36"/>
      <c r="T65" s="36"/>
    </row>
    <row r="66" spans="1:20" s="42" customFormat="1" ht="15.75" customHeight="1">
      <c r="A66" s="67" t="s">
        <v>132</v>
      </c>
      <c r="B66" s="67"/>
      <c r="C66" s="67"/>
      <c r="D66" s="67"/>
      <c r="E66" s="67"/>
      <c r="F66" s="67"/>
      <c r="G66" s="67"/>
      <c r="H66" s="67"/>
      <c r="I66" s="67"/>
      <c r="J66" s="267"/>
      <c r="K66" s="267"/>
      <c r="L66" s="68"/>
      <c r="M66" s="36"/>
      <c r="N66" s="36"/>
      <c r="O66" s="36"/>
      <c r="P66" s="36"/>
      <c r="Q66" s="36"/>
      <c r="R66" s="36"/>
      <c r="S66" s="36"/>
      <c r="T66" s="36"/>
    </row>
    <row r="67" spans="1:22" s="73" customFormat="1" ht="13.5">
      <c r="A67" s="69" t="s">
        <v>133</v>
      </c>
      <c r="B67" s="85" t="s">
        <v>134</v>
      </c>
      <c r="C67" s="85"/>
      <c r="D67" s="85"/>
      <c r="E67" s="85"/>
      <c r="F67" s="85"/>
      <c r="G67" s="85"/>
      <c r="H67" s="85"/>
      <c r="I67" s="85"/>
      <c r="J67" s="85"/>
      <c r="K67" s="85"/>
      <c r="L67" s="71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1:22" s="78" customFormat="1" ht="23.25">
      <c r="A68" s="74" t="s">
        <v>135</v>
      </c>
      <c r="B68" s="120" t="s">
        <v>517</v>
      </c>
      <c r="C68" s="47" t="s">
        <v>741</v>
      </c>
      <c r="D68" s="75" t="s">
        <v>23</v>
      </c>
      <c r="E68" s="41">
        <v>24.7</v>
      </c>
      <c r="F68" s="41"/>
      <c r="G68" s="41"/>
      <c r="H68" s="41"/>
      <c r="I68" s="41"/>
      <c r="J68" s="77"/>
      <c r="K68" s="41"/>
      <c r="L68" s="71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2" s="78" customFormat="1" ht="23.25">
      <c r="A69" s="74" t="s">
        <v>136</v>
      </c>
      <c r="B69" s="120" t="s">
        <v>519</v>
      </c>
      <c r="C69" s="47" t="s">
        <v>520</v>
      </c>
      <c r="D69" s="75" t="s">
        <v>23</v>
      </c>
      <c r="E69" s="41">
        <f>E68*1.005</f>
        <v>24.823499999999996</v>
      </c>
      <c r="F69" s="41"/>
      <c r="G69" s="41"/>
      <c r="H69" s="41"/>
      <c r="I69" s="41"/>
      <c r="J69" s="77"/>
      <c r="K69" s="41"/>
      <c r="L69" s="71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2" s="78" customFormat="1" ht="13.5">
      <c r="A70" s="74" t="s">
        <v>137</v>
      </c>
      <c r="B70" s="120">
        <v>72104</v>
      </c>
      <c r="C70" s="47" t="s">
        <v>521</v>
      </c>
      <c r="D70" s="75" t="s">
        <v>189</v>
      </c>
      <c r="E70" s="39">
        <f>(2*7.9)*1.005</f>
        <v>15.879</v>
      </c>
      <c r="F70" s="41"/>
      <c r="G70" s="41"/>
      <c r="H70" s="41"/>
      <c r="I70" s="41"/>
      <c r="J70" s="77"/>
      <c r="K70" s="41"/>
      <c r="L70" s="71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1:22" s="78" customFormat="1" ht="13.5">
      <c r="A71" s="74" t="s">
        <v>138</v>
      </c>
      <c r="B71" s="120">
        <v>72104</v>
      </c>
      <c r="C71" s="46" t="s">
        <v>523</v>
      </c>
      <c r="D71" s="75" t="s">
        <v>189</v>
      </c>
      <c r="E71" s="295">
        <v>2.6</v>
      </c>
      <c r="F71" s="41"/>
      <c r="G71" s="41"/>
      <c r="H71" s="41"/>
      <c r="I71" s="41"/>
      <c r="J71" s="77"/>
      <c r="K71" s="41"/>
      <c r="L71" s="71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1:22" s="78" customFormat="1" ht="13.5">
      <c r="A72" s="74" t="s">
        <v>139</v>
      </c>
      <c r="B72" s="120">
        <v>72106</v>
      </c>
      <c r="C72" s="46" t="s">
        <v>522</v>
      </c>
      <c r="D72" s="75" t="s">
        <v>189</v>
      </c>
      <c r="E72" s="41">
        <f>(2*7.9)*1.005</f>
        <v>15.879</v>
      </c>
      <c r="F72" s="41"/>
      <c r="G72" s="41"/>
      <c r="H72" s="41"/>
      <c r="I72" s="41"/>
      <c r="J72" s="77"/>
      <c r="K72" s="41"/>
      <c r="L72" s="71"/>
      <c r="M72" s="72"/>
      <c r="N72" s="72"/>
      <c r="O72" s="72"/>
      <c r="P72" s="72"/>
      <c r="Q72" s="72"/>
      <c r="R72" s="72"/>
      <c r="S72" s="72"/>
      <c r="T72" s="72"/>
      <c r="U72" s="72"/>
      <c r="V72" s="72"/>
    </row>
    <row r="73" spans="1:22" s="73" customFormat="1" ht="14.25">
      <c r="A73" s="79" t="s">
        <v>145</v>
      </c>
      <c r="B73" s="79"/>
      <c r="C73" s="79"/>
      <c r="D73" s="79"/>
      <c r="E73" s="79"/>
      <c r="F73" s="79"/>
      <c r="G73" s="79"/>
      <c r="H73" s="79"/>
      <c r="I73" s="79"/>
      <c r="J73" s="267"/>
      <c r="K73" s="267"/>
      <c r="L73" s="80"/>
      <c r="M73" s="72"/>
      <c r="N73" s="72"/>
      <c r="O73" s="72"/>
      <c r="P73" s="72"/>
      <c r="Q73" s="72"/>
      <c r="R73" s="72"/>
      <c r="S73" s="72"/>
      <c r="T73" s="72"/>
      <c r="U73" s="72"/>
      <c r="V73" s="72"/>
    </row>
    <row r="74" spans="1:20" s="42" customFormat="1" ht="13.5">
      <c r="A74" s="37" t="s">
        <v>146</v>
      </c>
      <c r="B74" s="55" t="s">
        <v>147</v>
      </c>
      <c r="C74" s="55"/>
      <c r="D74" s="55"/>
      <c r="E74" s="55"/>
      <c r="F74" s="55"/>
      <c r="G74" s="55"/>
      <c r="H74" s="55"/>
      <c r="I74" s="55"/>
      <c r="J74" s="55"/>
      <c r="K74" s="55"/>
      <c r="L74" s="68"/>
      <c r="M74" s="36"/>
      <c r="N74" s="36"/>
      <c r="O74" s="36"/>
      <c r="P74" s="36"/>
      <c r="Q74" s="36"/>
      <c r="R74" s="36"/>
      <c r="S74" s="36"/>
      <c r="T74" s="36"/>
    </row>
    <row r="75" spans="1:20" s="91" customFormat="1" ht="14.25">
      <c r="A75" s="86" t="s">
        <v>148</v>
      </c>
      <c r="B75" s="214" t="s">
        <v>546</v>
      </c>
      <c r="C75" s="271" t="s">
        <v>525</v>
      </c>
      <c r="D75" s="272" t="s">
        <v>189</v>
      </c>
      <c r="E75" s="88">
        <v>57.34</v>
      </c>
      <c r="F75" s="271"/>
      <c r="G75" s="83"/>
      <c r="H75" s="271"/>
      <c r="I75" s="83"/>
      <c r="J75" s="83"/>
      <c r="K75" s="83"/>
      <c r="L75" s="90"/>
      <c r="M75" s="90"/>
      <c r="N75" s="90"/>
      <c r="O75" s="90"/>
      <c r="P75" s="90"/>
      <c r="Q75" s="90"/>
      <c r="R75" s="90"/>
      <c r="S75" s="90"/>
      <c r="T75" s="90"/>
    </row>
    <row r="76" spans="1:20" s="91" customFormat="1" ht="14.25">
      <c r="A76" s="86" t="s">
        <v>149</v>
      </c>
      <c r="B76" s="203"/>
      <c r="C76" s="230" t="s">
        <v>530</v>
      </c>
      <c r="D76" s="177" t="s">
        <v>391</v>
      </c>
      <c r="E76" s="41">
        <v>1</v>
      </c>
      <c r="F76" s="41"/>
      <c r="G76" s="41"/>
      <c r="H76" s="41"/>
      <c r="I76" s="41"/>
      <c r="J76" s="41"/>
      <c r="K76" s="83"/>
      <c r="L76" s="90"/>
      <c r="M76" s="90"/>
      <c r="N76" s="90"/>
      <c r="O76" s="90"/>
      <c r="P76" s="90"/>
      <c r="Q76" s="90"/>
      <c r="R76" s="90"/>
      <c r="S76" s="90"/>
      <c r="T76" s="90"/>
    </row>
    <row r="77" spans="1:20" s="91" customFormat="1" ht="14.25">
      <c r="A77" s="86" t="s">
        <v>150</v>
      </c>
      <c r="B77" s="203"/>
      <c r="C77" s="204" t="s">
        <v>531</v>
      </c>
      <c r="D77" s="177" t="s">
        <v>391</v>
      </c>
      <c r="E77" s="205">
        <v>4</v>
      </c>
      <c r="F77" s="41"/>
      <c r="G77" s="41"/>
      <c r="H77" s="206"/>
      <c r="I77" s="41"/>
      <c r="J77" s="41"/>
      <c r="K77" s="83"/>
      <c r="L77" s="90"/>
      <c r="M77" s="90"/>
      <c r="N77" s="90"/>
      <c r="O77" s="90"/>
      <c r="P77" s="90"/>
      <c r="Q77" s="90"/>
      <c r="R77" s="90"/>
      <c r="S77" s="90"/>
      <c r="T77" s="90"/>
    </row>
    <row r="78" spans="1:20" s="91" customFormat="1" ht="14.25">
      <c r="A78" s="86" t="s">
        <v>151</v>
      </c>
      <c r="B78" s="203"/>
      <c r="C78" s="230" t="s">
        <v>532</v>
      </c>
      <c r="D78" s="177" t="s">
        <v>189</v>
      </c>
      <c r="E78" s="41">
        <v>19.11</v>
      </c>
      <c r="F78" s="41"/>
      <c r="G78" s="41"/>
      <c r="H78" s="41"/>
      <c r="I78" s="41"/>
      <c r="J78" s="41"/>
      <c r="K78" s="83"/>
      <c r="L78" s="90"/>
      <c r="M78" s="90"/>
      <c r="N78" s="90"/>
      <c r="O78" s="90"/>
      <c r="P78" s="90"/>
      <c r="Q78" s="90"/>
      <c r="R78" s="90"/>
      <c r="S78" s="90"/>
      <c r="T78" s="90"/>
    </row>
    <row r="79" spans="1:20" s="91" customFormat="1" ht="14.25">
      <c r="A79" s="86" t="s">
        <v>152</v>
      </c>
      <c r="B79" s="203"/>
      <c r="C79" s="230" t="s">
        <v>535</v>
      </c>
      <c r="D79" s="177" t="s">
        <v>391</v>
      </c>
      <c r="E79" s="41">
        <v>1</v>
      </c>
      <c r="F79" s="41"/>
      <c r="G79" s="41"/>
      <c r="H79" s="41"/>
      <c r="I79" s="41"/>
      <c r="J79" s="41"/>
      <c r="K79" s="83"/>
      <c r="L79" s="90"/>
      <c r="M79" s="90"/>
      <c r="N79" s="90"/>
      <c r="O79" s="90"/>
      <c r="P79" s="90"/>
      <c r="Q79" s="90"/>
      <c r="R79" s="90"/>
      <c r="S79" s="90"/>
      <c r="T79" s="90"/>
    </row>
    <row r="80" spans="1:20" s="91" customFormat="1" ht="14.25">
      <c r="A80" s="86" t="s">
        <v>153</v>
      </c>
      <c r="B80" s="203"/>
      <c r="C80" s="211" t="s">
        <v>544</v>
      </c>
      <c r="D80" s="177" t="s">
        <v>391</v>
      </c>
      <c r="E80" s="41">
        <v>4</v>
      </c>
      <c r="F80" s="211"/>
      <c r="G80" s="41"/>
      <c r="H80" s="211"/>
      <c r="I80" s="41"/>
      <c r="J80" s="41"/>
      <c r="K80" s="83"/>
      <c r="L80" s="90"/>
      <c r="M80" s="90"/>
      <c r="N80" s="90"/>
      <c r="O80" s="90"/>
      <c r="P80" s="90"/>
      <c r="Q80" s="90"/>
      <c r="R80" s="90"/>
      <c r="S80" s="90"/>
      <c r="T80" s="90"/>
    </row>
    <row r="81" spans="1:20" s="91" customFormat="1" ht="14.25">
      <c r="A81" s="86" t="s">
        <v>154</v>
      </c>
      <c r="B81" s="214" t="s">
        <v>546</v>
      </c>
      <c r="C81" s="211" t="s">
        <v>547</v>
      </c>
      <c r="D81" s="177" t="s">
        <v>391</v>
      </c>
      <c r="E81" s="41">
        <v>2</v>
      </c>
      <c r="F81" s="41"/>
      <c r="G81" s="41"/>
      <c r="H81" s="211"/>
      <c r="I81" s="41"/>
      <c r="J81" s="41"/>
      <c r="K81" s="83"/>
      <c r="L81" s="90"/>
      <c r="M81" s="90"/>
      <c r="N81" s="90"/>
      <c r="O81" s="90"/>
      <c r="P81" s="90"/>
      <c r="Q81" s="90"/>
      <c r="R81" s="90"/>
      <c r="S81" s="90"/>
      <c r="T81" s="90"/>
    </row>
    <row r="82" spans="1:20" s="91" customFormat="1" ht="14.25">
      <c r="A82" s="86" t="s">
        <v>155</v>
      </c>
      <c r="B82" s="203"/>
      <c r="C82" s="211" t="s">
        <v>556</v>
      </c>
      <c r="D82" s="177" t="s">
        <v>391</v>
      </c>
      <c r="E82" s="41">
        <v>1</v>
      </c>
      <c r="F82" s="41"/>
      <c r="G82" s="41"/>
      <c r="H82" s="211"/>
      <c r="I82" s="41"/>
      <c r="J82" s="41"/>
      <c r="K82" s="83"/>
      <c r="L82" s="90"/>
      <c r="M82" s="90"/>
      <c r="N82" s="90"/>
      <c r="O82" s="90"/>
      <c r="P82" s="90"/>
      <c r="Q82" s="90"/>
      <c r="R82" s="90"/>
      <c r="S82" s="90"/>
      <c r="T82" s="90"/>
    </row>
    <row r="83" spans="1:20" s="91" customFormat="1" ht="14.25">
      <c r="A83" s="86" t="s">
        <v>156</v>
      </c>
      <c r="B83" s="203"/>
      <c r="C83" s="211" t="s">
        <v>875</v>
      </c>
      <c r="D83" s="177" t="s">
        <v>391</v>
      </c>
      <c r="E83" s="41">
        <v>1</v>
      </c>
      <c r="F83" s="41"/>
      <c r="G83" s="41"/>
      <c r="H83" s="211"/>
      <c r="I83" s="41"/>
      <c r="J83" s="41"/>
      <c r="K83" s="83"/>
      <c r="L83" s="90"/>
      <c r="M83" s="90"/>
      <c r="N83" s="90"/>
      <c r="O83" s="90"/>
      <c r="P83" s="90"/>
      <c r="Q83" s="90"/>
      <c r="R83" s="90"/>
      <c r="S83" s="90"/>
      <c r="T83" s="90"/>
    </row>
    <row r="84" spans="1:20" ht="14.25" customHeight="1">
      <c r="A84" s="67" t="s">
        <v>158</v>
      </c>
      <c r="B84" s="67"/>
      <c r="C84" s="67"/>
      <c r="D84" s="67"/>
      <c r="E84" s="67"/>
      <c r="F84" s="67"/>
      <c r="G84" s="67"/>
      <c r="H84" s="67"/>
      <c r="I84" s="67"/>
      <c r="J84" s="267"/>
      <c r="K84" s="260"/>
      <c r="L84" s="36"/>
      <c r="M84" s="36"/>
      <c r="N84" s="36"/>
      <c r="O84" s="36"/>
      <c r="P84" s="36"/>
      <c r="Q84" s="36"/>
      <c r="R84" s="36"/>
      <c r="S84" s="36"/>
      <c r="T84" s="36"/>
    </row>
    <row r="85" spans="1:20" s="42" customFormat="1" ht="13.5" customHeight="1">
      <c r="A85" s="34" t="s">
        <v>159</v>
      </c>
      <c r="B85" s="95" t="s">
        <v>160</v>
      </c>
      <c r="C85" s="95"/>
      <c r="D85" s="95"/>
      <c r="E85" s="95"/>
      <c r="F85" s="95"/>
      <c r="G85" s="95"/>
      <c r="H85" s="95"/>
      <c r="I85" s="95"/>
      <c r="J85" s="95"/>
      <c r="K85" s="95"/>
      <c r="L85" s="36"/>
      <c r="M85" s="36"/>
      <c r="N85" s="36"/>
      <c r="O85" s="36"/>
      <c r="P85" s="36"/>
      <c r="Q85" s="36"/>
      <c r="R85" s="36"/>
      <c r="S85" s="36"/>
      <c r="T85" s="36"/>
    </row>
    <row r="86" spans="1:20" s="42" customFormat="1" ht="13.5">
      <c r="A86" s="37" t="s">
        <v>161</v>
      </c>
      <c r="B86" s="37"/>
      <c r="C86" s="204" t="s">
        <v>560</v>
      </c>
      <c r="D86" s="281" t="s">
        <v>189</v>
      </c>
      <c r="E86" s="218">
        <v>30</v>
      </c>
      <c r="F86" s="41"/>
      <c r="G86" s="41"/>
      <c r="H86" s="41"/>
      <c r="I86" s="41"/>
      <c r="J86" s="41"/>
      <c r="K86" s="83"/>
      <c r="L86" s="36"/>
      <c r="M86" s="36"/>
      <c r="N86" s="36"/>
      <c r="O86" s="36"/>
      <c r="P86" s="36"/>
      <c r="Q86" s="36"/>
      <c r="R86" s="36"/>
      <c r="S86" s="36"/>
      <c r="T86" s="36"/>
    </row>
    <row r="87" spans="1:20" s="42" customFormat="1" ht="13.5">
      <c r="A87" s="37" t="s">
        <v>162</v>
      </c>
      <c r="B87" s="37"/>
      <c r="C87" s="204" t="s">
        <v>561</v>
      </c>
      <c r="D87" s="177" t="s">
        <v>391</v>
      </c>
      <c r="E87" s="218">
        <v>1</v>
      </c>
      <c r="F87" s="206"/>
      <c r="G87" s="41"/>
      <c r="H87" s="206"/>
      <c r="I87" s="41"/>
      <c r="J87" s="41"/>
      <c r="K87" s="83"/>
      <c r="L87" s="36"/>
      <c r="M87" s="36"/>
      <c r="N87" s="36"/>
      <c r="O87" s="36"/>
      <c r="P87" s="36"/>
      <c r="Q87" s="36"/>
      <c r="R87" s="36"/>
      <c r="S87" s="36"/>
      <c r="T87" s="36"/>
    </row>
    <row r="88" spans="1:20" s="42" customFormat="1" ht="13.5">
      <c r="A88" s="37" t="s">
        <v>163</v>
      </c>
      <c r="B88" s="37"/>
      <c r="C88" s="204" t="s">
        <v>562</v>
      </c>
      <c r="D88" s="177" t="s">
        <v>391</v>
      </c>
      <c r="E88" s="218">
        <v>1</v>
      </c>
      <c r="F88" s="206"/>
      <c r="G88" s="41"/>
      <c r="H88" s="206"/>
      <c r="I88" s="41"/>
      <c r="J88" s="41"/>
      <c r="K88" s="83"/>
      <c r="L88" s="36"/>
      <c r="M88" s="36"/>
      <c r="N88" s="36"/>
      <c r="O88" s="36"/>
      <c r="P88" s="36"/>
      <c r="Q88" s="36"/>
      <c r="R88" s="36"/>
      <c r="S88" s="36"/>
      <c r="T88" s="36"/>
    </row>
    <row r="89" spans="1:20" s="42" customFormat="1" ht="23.25">
      <c r="A89" s="37" t="s">
        <v>164</v>
      </c>
      <c r="B89" s="37"/>
      <c r="C89" s="277" t="s">
        <v>563</v>
      </c>
      <c r="D89" s="283" t="s">
        <v>391</v>
      </c>
      <c r="E89" s="218">
        <v>1</v>
      </c>
      <c r="F89" s="206"/>
      <c r="G89" s="220"/>
      <c r="H89" s="206"/>
      <c r="I89" s="220"/>
      <c r="J89" s="220"/>
      <c r="K89" s="83"/>
      <c r="L89" s="36"/>
      <c r="M89" s="36"/>
      <c r="N89" s="36"/>
      <c r="O89" s="36"/>
      <c r="P89" s="36"/>
      <c r="Q89" s="36"/>
      <c r="R89" s="36"/>
      <c r="S89" s="36"/>
      <c r="T89" s="36"/>
    </row>
    <row r="90" spans="1:20" s="42" customFormat="1" ht="13.5">
      <c r="A90" s="37" t="s">
        <v>165</v>
      </c>
      <c r="B90" s="37"/>
      <c r="C90" s="204" t="s">
        <v>564</v>
      </c>
      <c r="D90" s="281" t="s">
        <v>189</v>
      </c>
      <c r="E90" s="218">
        <v>60.3</v>
      </c>
      <c r="F90" s="206"/>
      <c r="G90" s="41"/>
      <c r="H90" s="206"/>
      <c r="I90" s="41"/>
      <c r="J90" s="41"/>
      <c r="K90" s="83"/>
      <c r="L90" s="36"/>
      <c r="M90" s="36"/>
      <c r="N90" s="36"/>
      <c r="O90" s="36"/>
      <c r="P90" s="36"/>
      <c r="Q90" s="36"/>
      <c r="R90" s="36"/>
      <c r="S90" s="36"/>
      <c r="T90" s="36"/>
    </row>
    <row r="91" spans="1:20" s="42" customFormat="1" ht="13.5">
      <c r="A91" s="37" t="s">
        <v>166</v>
      </c>
      <c r="B91" s="37"/>
      <c r="C91" s="313" t="s">
        <v>565</v>
      </c>
      <c r="D91" s="314" t="s">
        <v>189</v>
      </c>
      <c r="E91" s="223">
        <v>60.3</v>
      </c>
      <c r="F91" s="315"/>
      <c r="G91" s="41"/>
      <c r="H91" s="315"/>
      <c r="I91" s="41"/>
      <c r="J91" s="41"/>
      <c r="K91" s="83"/>
      <c r="L91" s="36"/>
      <c r="M91" s="36"/>
      <c r="N91" s="36"/>
      <c r="O91" s="36"/>
      <c r="P91" s="36"/>
      <c r="Q91" s="36"/>
      <c r="R91" s="36"/>
      <c r="S91" s="36"/>
      <c r="T91" s="36"/>
    </row>
    <row r="92" spans="1:20" s="42" customFormat="1" ht="13.5">
      <c r="A92" s="37" t="s">
        <v>167</v>
      </c>
      <c r="B92" s="37"/>
      <c r="C92" s="230" t="s">
        <v>530</v>
      </c>
      <c r="D92" s="177" t="s">
        <v>391</v>
      </c>
      <c r="E92" s="178">
        <v>2</v>
      </c>
      <c r="F92" s="41"/>
      <c r="G92" s="41"/>
      <c r="H92" s="41"/>
      <c r="I92" s="41"/>
      <c r="J92" s="41"/>
      <c r="K92" s="83"/>
      <c r="L92" s="36"/>
      <c r="M92" s="36"/>
      <c r="N92" s="36"/>
      <c r="O92" s="36"/>
      <c r="P92" s="36"/>
      <c r="Q92" s="36"/>
      <c r="R92" s="36"/>
      <c r="S92" s="36"/>
      <c r="T92" s="36"/>
    </row>
    <row r="93" spans="1:20" s="42" customFormat="1" ht="13.5">
      <c r="A93" s="100" t="s">
        <v>171</v>
      </c>
      <c r="B93" s="100"/>
      <c r="C93" s="100"/>
      <c r="D93" s="100"/>
      <c r="E93" s="100"/>
      <c r="F93" s="100"/>
      <c r="G93" s="100"/>
      <c r="H93" s="100"/>
      <c r="I93" s="100"/>
      <c r="J93" s="320"/>
      <c r="K93" s="320"/>
      <c r="L93" s="36"/>
      <c r="M93" s="36"/>
      <c r="N93" s="36"/>
      <c r="O93" s="36"/>
      <c r="P93" s="36"/>
      <c r="Q93" s="36"/>
      <c r="R93" s="36"/>
      <c r="S93" s="36"/>
      <c r="T93" s="36"/>
    </row>
    <row r="94" spans="1:20" s="42" customFormat="1" ht="13.5">
      <c r="A94" s="34" t="s">
        <v>172</v>
      </c>
      <c r="B94" s="55" t="s">
        <v>173</v>
      </c>
      <c r="C94" s="55"/>
      <c r="D94" s="55"/>
      <c r="E94" s="55"/>
      <c r="F94" s="55"/>
      <c r="G94" s="55"/>
      <c r="H94" s="55"/>
      <c r="I94" s="55"/>
      <c r="J94" s="55"/>
      <c r="K94" s="55"/>
      <c r="L94" s="36"/>
      <c r="M94" s="36"/>
      <c r="N94" s="36"/>
      <c r="O94" s="36"/>
      <c r="P94" s="36"/>
      <c r="Q94" s="36"/>
      <c r="R94" s="36"/>
      <c r="S94" s="36"/>
      <c r="T94" s="36"/>
    </row>
    <row r="95" spans="1:20" s="42" customFormat="1" ht="13.5">
      <c r="A95" s="37" t="s">
        <v>174</v>
      </c>
      <c r="B95" s="210" t="s">
        <v>194</v>
      </c>
      <c r="C95" s="211" t="s">
        <v>566</v>
      </c>
      <c r="D95" s="177" t="s">
        <v>189</v>
      </c>
      <c r="E95" s="41">
        <v>58.56</v>
      </c>
      <c r="F95" s="41"/>
      <c r="G95" s="41"/>
      <c r="H95" s="41"/>
      <c r="I95" s="41"/>
      <c r="J95" s="41"/>
      <c r="K95" s="83"/>
      <c r="L95" s="36"/>
      <c r="M95" s="36"/>
      <c r="N95" s="36"/>
      <c r="O95" s="36"/>
      <c r="P95" s="36"/>
      <c r="Q95" s="36"/>
      <c r="R95" s="36"/>
      <c r="S95" s="36"/>
      <c r="T95" s="36"/>
    </row>
    <row r="96" spans="1:20" s="42" customFormat="1" ht="13.5">
      <c r="A96" s="37" t="s">
        <v>175</v>
      </c>
      <c r="B96" s="210" t="s">
        <v>569</v>
      </c>
      <c r="C96" s="211" t="s">
        <v>570</v>
      </c>
      <c r="D96" s="177" t="s">
        <v>189</v>
      </c>
      <c r="E96" s="41">
        <v>3.5</v>
      </c>
      <c r="F96" s="41"/>
      <c r="G96" s="41"/>
      <c r="H96" s="41"/>
      <c r="I96" s="41"/>
      <c r="J96" s="41"/>
      <c r="K96" s="83"/>
      <c r="L96" s="36"/>
      <c r="M96" s="36"/>
      <c r="N96" s="36"/>
      <c r="O96" s="36"/>
      <c r="P96" s="36"/>
      <c r="Q96" s="36"/>
      <c r="R96" s="36"/>
      <c r="S96" s="36"/>
      <c r="T96" s="36"/>
    </row>
    <row r="97" spans="1:20" s="42" customFormat="1" ht="13.5">
      <c r="A97" s="37" t="s">
        <v>176</v>
      </c>
      <c r="B97" s="210" t="s">
        <v>573</v>
      </c>
      <c r="C97" s="211" t="s">
        <v>574</v>
      </c>
      <c r="D97" s="177" t="s">
        <v>189</v>
      </c>
      <c r="E97" s="41">
        <v>23.84</v>
      </c>
      <c r="F97" s="41"/>
      <c r="G97" s="41"/>
      <c r="H97" s="41"/>
      <c r="I97" s="41"/>
      <c r="J97" s="41"/>
      <c r="K97" s="83"/>
      <c r="L97" s="36"/>
      <c r="M97" s="36"/>
      <c r="N97" s="36"/>
      <c r="O97" s="36"/>
      <c r="P97" s="36"/>
      <c r="Q97" s="36"/>
      <c r="R97" s="36"/>
      <c r="S97" s="36"/>
      <c r="T97" s="36"/>
    </row>
    <row r="98" spans="1:20" s="42" customFormat="1" ht="13.5">
      <c r="A98" s="37" t="s">
        <v>177</v>
      </c>
      <c r="B98" s="210" t="s">
        <v>579</v>
      </c>
      <c r="C98" s="211" t="s">
        <v>580</v>
      </c>
      <c r="D98" s="177" t="s">
        <v>189</v>
      </c>
      <c r="E98" s="41">
        <v>10.93</v>
      </c>
      <c r="F98" s="41"/>
      <c r="G98" s="41"/>
      <c r="H98" s="41"/>
      <c r="I98" s="41"/>
      <c r="J98" s="41"/>
      <c r="K98" s="83"/>
      <c r="L98" s="36"/>
      <c r="M98" s="36"/>
      <c r="N98" s="36"/>
      <c r="O98" s="36"/>
      <c r="P98" s="36"/>
      <c r="Q98" s="36"/>
      <c r="R98" s="36"/>
      <c r="S98" s="36"/>
      <c r="T98" s="36"/>
    </row>
    <row r="99" spans="1:20" s="42" customFormat="1" ht="13.5">
      <c r="A99" s="37" t="s">
        <v>178</v>
      </c>
      <c r="B99" s="210">
        <v>72557</v>
      </c>
      <c r="C99" s="211" t="s">
        <v>581</v>
      </c>
      <c r="D99" s="177" t="s">
        <v>391</v>
      </c>
      <c r="E99" s="41">
        <v>5</v>
      </c>
      <c r="F99" s="41"/>
      <c r="G99" s="41"/>
      <c r="H99" s="41"/>
      <c r="I99" s="41"/>
      <c r="J99" s="41"/>
      <c r="K99" s="83"/>
      <c r="L99" s="36"/>
      <c r="M99" s="36"/>
      <c r="N99" s="36"/>
      <c r="O99" s="36"/>
      <c r="P99" s="36"/>
      <c r="Q99" s="36"/>
      <c r="R99" s="36"/>
      <c r="S99" s="36"/>
      <c r="T99" s="36"/>
    </row>
    <row r="100" spans="1:20" s="42" customFormat="1" ht="13.5">
      <c r="A100" s="37" t="s">
        <v>179</v>
      </c>
      <c r="B100" s="202">
        <v>72560</v>
      </c>
      <c r="C100" s="211" t="s">
        <v>585</v>
      </c>
      <c r="D100" s="177" t="s">
        <v>391</v>
      </c>
      <c r="E100" s="41">
        <v>3</v>
      </c>
      <c r="F100" s="41"/>
      <c r="G100" s="41"/>
      <c r="H100" s="41"/>
      <c r="I100" s="41"/>
      <c r="J100" s="41"/>
      <c r="K100" s="83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s="42" customFormat="1" ht="13.5">
      <c r="A101" s="37" t="s">
        <v>180</v>
      </c>
      <c r="B101" s="202">
        <v>72573</v>
      </c>
      <c r="C101" s="211" t="s">
        <v>587</v>
      </c>
      <c r="D101" s="177" t="s">
        <v>391</v>
      </c>
      <c r="E101" s="41">
        <v>6</v>
      </c>
      <c r="F101" s="41"/>
      <c r="G101" s="41"/>
      <c r="H101" s="41"/>
      <c r="I101" s="41"/>
      <c r="J101" s="41"/>
      <c r="K101" s="83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s="42" customFormat="1" ht="13.5">
      <c r="A102" s="37" t="s">
        <v>181</v>
      </c>
      <c r="B102" s="202">
        <v>72580</v>
      </c>
      <c r="C102" s="211" t="s">
        <v>589</v>
      </c>
      <c r="D102" s="177" t="s">
        <v>391</v>
      </c>
      <c r="E102" s="41">
        <v>3</v>
      </c>
      <c r="F102" s="41"/>
      <c r="G102" s="41"/>
      <c r="H102" s="41"/>
      <c r="I102" s="41"/>
      <c r="J102" s="41"/>
      <c r="K102" s="83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s="42" customFormat="1" ht="13.5">
      <c r="A103" s="37" t="s">
        <v>182</v>
      </c>
      <c r="B103" s="37"/>
      <c r="C103" s="211" t="s">
        <v>763</v>
      </c>
      <c r="D103" s="177" t="s">
        <v>391</v>
      </c>
      <c r="E103" s="41">
        <v>5</v>
      </c>
      <c r="F103" s="41"/>
      <c r="G103" s="41"/>
      <c r="H103" s="41"/>
      <c r="I103" s="41"/>
      <c r="J103" s="41"/>
      <c r="K103" s="83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s="42" customFormat="1" ht="13.5">
      <c r="A104" s="37" t="s">
        <v>183</v>
      </c>
      <c r="B104" s="37"/>
      <c r="C104" s="211" t="s">
        <v>591</v>
      </c>
      <c r="D104" s="177" t="s">
        <v>391</v>
      </c>
      <c r="E104" s="41">
        <v>3</v>
      </c>
      <c r="F104" s="41"/>
      <c r="G104" s="41"/>
      <c r="H104" s="41"/>
      <c r="I104" s="41"/>
      <c r="J104" s="41"/>
      <c r="K104" s="83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s="42" customFormat="1" ht="13.5">
      <c r="A105" s="37" t="s">
        <v>184</v>
      </c>
      <c r="B105" s="37"/>
      <c r="C105" s="211" t="s">
        <v>597</v>
      </c>
      <c r="D105" s="177" t="s">
        <v>391</v>
      </c>
      <c r="E105" s="41">
        <v>1</v>
      </c>
      <c r="F105" s="41"/>
      <c r="G105" s="41"/>
      <c r="H105" s="41"/>
      <c r="I105" s="41"/>
      <c r="J105" s="41"/>
      <c r="K105" s="83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s="42" customFormat="1" ht="13.5">
      <c r="A106" s="37" t="s">
        <v>226</v>
      </c>
      <c r="B106" s="37"/>
      <c r="C106" s="211" t="s">
        <v>605</v>
      </c>
      <c r="D106" s="177" t="s">
        <v>391</v>
      </c>
      <c r="E106" s="41">
        <v>1</v>
      </c>
      <c r="F106" s="41"/>
      <c r="G106" s="41"/>
      <c r="H106" s="41"/>
      <c r="I106" s="41"/>
      <c r="J106" s="41"/>
      <c r="K106" s="83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s="42" customFormat="1" ht="13.5">
      <c r="A107" s="37" t="s">
        <v>236</v>
      </c>
      <c r="B107" s="37"/>
      <c r="C107" s="230" t="s">
        <v>772</v>
      </c>
      <c r="D107" s="177" t="s">
        <v>391</v>
      </c>
      <c r="E107" s="41">
        <v>1</v>
      </c>
      <c r="F107" s="41"/>
      <c r="G107" s="41"/>
      <c r="H107" s="41"/>
      <c r="I107" s="41"/>
      <c r="J107" s="41"/>
      <c r="K107" s="83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s="42" customFormat="1" ht="13.5">
      <c r="A108" s="37" t="s">
        <v>586</v>
      </c>
      <c r="B108" s="37"/>
      <c r="C108" s="230" t="s">
        <v>609</v>
      </c>
      <c r="D108" s="177" t="s">
        <v>391</v>
      </c>
      <c r="E108" s="41">
        <v>1</v>
      </c>
      <c r="F108" s="41"/>
      <c r="G108" s="41"/>
      <c r="H108" s="41"/>
      <c r="I108" s="41"/>
      <c r="J108" s="41"/>
      <c r="K108" s="83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s="42" customFormat="1" ht="13.5">
      <c r="A109" s="37" t="s">
        <v>588</v>
      </c>
      <c r="B109" s="37"/>
      <c r="C109" s="211" t="s">
        <v>614</v>
      </c>
      <c r="D109" s="177" t="s">
        <v>391</v>
      </c>
      <c r="E109" s="41">
        <v>1</v>
      </c>
      <c r="F109" s="41"/>
      <c r="G109" s="41"/>
      <c r="H109" s="41"/>
      <c r="I109" s="41"/>
      <c r="J109" s="41"/>
      <c r="K109" s="83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s="42" customFormat="1" ht="13.5">
      <c r="A110" s="37" t="s">
        <v>590</v>
      </c>
      <c r="B110" s="37"/>
      <c r="C110" s="211" t="s">
        <v>620</v>
      </c>
      <c r="D110" s="177" t="s">
        <v>391</v>
      </c>
      <c r="E110" s="41">
        <v>1</v>
      </c>
      <c r="F110" s="41"/>
      <c r="G110" s="41"/>
      <c r="H110" s="41"/>
      <c r="I110" s="41"/>
      <c r="J110" s="41"/>
      <c r="K110" s="83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s="42" customFormat="1" ht="13.5">
      <c r="A111" s="37" t="s">
        <v>592</v>
      </c>
      <c r="B111" s="37"/>
      <c r="C111" s="211" t="s">
        <v>624</v>
      </c>
      <c r="D111" s="177" t="s">
        <v>391</v>
      </c>
      <c r="E111" s="41">
        <v>1</v>
      </c>
      <c r="F111" s="41"/>
      <c r="G111" s="41"/>
      <c r="H111" s="41"/>
      <c r="I111" s="41"/>
      <c r="J111" s="41"/>
      <c r="K111" s="83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s="42" customFormat="1" ht="13.5">
      <c r="A112" s="37" t="s">
        <v>594</v>
      </c>
      <c r="B112" s="37"/>
      <c r="C112" s="211" t="s">
        <v>628</v>
      </c>
      <c r="D112" s="177" t="s">
        <v>391</v>
      </c>
      <c r="E112" s="41">
        <v>3</v>
      </c>
      <c r="F112" s="41"/>
      <c r="G112" s="41"/>
      <c r="H112" s="41"/>
      <c r="I112" s="41"/>
      <c r="J112" s="41"/>
      <c r="K112" s="83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s="42" customFormat="1" ht="13.5">
      <c r="A113" s="37" t="s">
        <v>596</v>
      </c>
      <c r="B113" s="37"/>
      <c r="C113" s="211" t="s">
        <v>632</v>
      </c>
      <c r="D113" s="177" t="s">
        <v>391</v>
      </c>
      <c r="E113" s="41">
        <v>1</v>
      </c>
      <c r="F113" s="41"/>
      <c r="G113" s="41"/>
      <c r="H113" s="41"/>
      <c r="I113" s="41"/>
      <c r="J113" s="41"/>
      <c r="K113" s="83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42" customFormat="1" ht="13.5">
      <c r="A114" s="37" t="s">
        <v>598</v>
      </c>
      <c r="B114" s="37"/>
      <c r="C114" s="211" t="s">
        <v>637</v>
      </c>
      <c r="D114" s="177" t="s">
        <v>391</v>
      </c>
      <c r="E114" s="41">
        <v>1</v>
      </c>
      <c r="F114" s="41"/>
      <c r="G114" s="41"/>
      <c r="H114" s="41"/>
      <c r="I114" s="41"/>
      <c r="J114" s="41"/>
      <c r="K114" s="83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42" customFormat="1" ht="13.5">
      <c r="A115" s="37" t="s">
        <v>600</v>
      </c>
      <c r="B115" s="37"/>
      <c r="C115" s="211" t="s">
        <v>639</v>
      </c>
      <c r="D115" s="177" t="s">
        <v>391</v>
      </c>
      <c r="E115" s="41">
        <v>1</v>
      </c>
      <c r="F115" s="41"/>
      <c r="G115" s="41"/>
      <c r="H115" s="41"/>
      <c r="I115" s="41"/>
      <c r="J115" s="41"/>
      <c r="K115" s="83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s="42" customFormat="1" ht="13.5">
      <c r="A116" s="37" t="s">
        <v>602</v>
      </c>
      <c r="B116" s="37"/>
      <c r="C116" s="211" t="s">
        <v>641</v>
      </c>
      <c r="D116" s="177" t="s">
        <v>391</v>
      </c>
      <c r="E116" s="41">
        <v>1</v>
      </c>
      <c r="F116" s="41"/>
      <c r="G116" s="41"/>
      <c r="H116" s="41"/>
      <c r="I116" s="41"/>
      <c r="J116" s="41"/>
      <c r="K116" s="83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s="42" customFormat="1" ht="13.5">
      <c r="A117" s="37" t="s">
        <v>604</v>
      </c>
      <c r="B117" s="37"/>
      <c r="C117" s="211" t="s">
        <v>643</v>
      </c>
      <c r="D117" s="177" t="s">
        <v>391</v>
      </c>
      <c r="E117" s="41">
        <v>1</v>
      </c>
      <c r="F117" s="41"/>
      <c r="G117" s="41"/>
      <c r="H117" s="41"/>
      <c r="I117" s="41"/>
      <c r="J117" s="41"/>
      <c r="K117" s="83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14.25">
      <c r="A118" s="67" t="s">
        <v>272</v>
      </c>
      <c r="B118" s="67"/>
      <c r="C118" s="67"/>
      <c r="D118" s="67"/>
      <c r="E118" s="67"/>
      <c r="F118" s="67"/>
      <c r="G118" s="67"/>
      <c r="H118" s="67"/>
      <c r="I118" s="67"/>
      <c r="J118" s="267"/>
      <c r="K118" s="260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2" s="73" customFormat="1" ht="13.5">
      <c r="A119" s="69" t="s">
        <v>273</v>
      </c>
      <c r="B119" s="70" t="s">
        <v>274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1"/>
      <c r="M119" s="72"/>
      <c r="N119" s="72"/>
      <c r="O119" s="72"/>
      <c r="P119" s="72"/>
      <c r="Q119" s="72"/>
      <c r="R119" s="72"/>
      <c r="S119" s="72"/>
      <c r="T119" s="72"/>
      <c r="U119" s="72"/>
      <c r="V119" s="72"/>
    </row>
    <row r="120" spans="1:22" s="194" customFormat="1" ht="14.25">
      <c r="A120" s="74" t="s">
        <v>275</v>
      </c>
      <c r="B120" s="120">
        <v>72075</v>
      </c>
      <c r="C120" s="76" t="s">
        <v>647</v>
      </c>
      <c r="D120" s="75" t="s">
        <v>23</v>
      </c>
      <c r="E120" s="41">
        <f>E133+E136</f>
        <v>73.9996</v>
      </c>
      <c r="F120" s="76"/>
      <c r="G120" s="41"/>
      <c r="H120" s="76"/>
      <c r="I120" s="41"/>
      <c r="J120" s="41"/>
      <c r="K120" s="41"/>
      <c r="L120" s="71"/>
      <c r="M120" s="72"/>
      <c r="N120" s="72"/>
      <c r="O120" s="72"/>
      <c r="P120" s="72"/>
      <c r="Q120" s="72"/>
      <c r="R120" s="72"/>
      <c r="S120" s="72"/>
      <c r="T120" s="72"/>
      <c r="U120" s="72"/>
      <c r="V120" s="72"/>
    </row>
    <row r="121" spans="1:22" s="73" customFormat="1" ht="14.25">
      <c r="A121" s="79" t="s">
        <v>285</v>
      </c>
      <c r="B121" s="79"/>
      <c r="C121" s="79"/>
      <c r="D121" s="79"/>
      <c r="E121" s="79"/>
      <c r="F121" s="79"/>
      <c r="G121" s="79"/>
      <c r="H121" s="79"/>
      <c r="I121" s="79"/>
      <c r="J121" s="267"/>
      <c r="K121" s="267"/>
      <c r="L121" s="80"/>
      <c r="M121" s="72"/>
      <c r="N121" s="72"/>
      <c r="O121" s="72"/>
      <c r="P121" s="72"/>
      <c r="Q121" s="72"/>
      <c r="R121" s="72"/>
      <c r="S121" s="72"/>
      <c r="T121" s="72"/>
      <c r="U121" s="72"/>
      <c r="V121" s="72"/>
    </row>
    <row r="122" spans="1:20" ht="13.5">
      <c r="A122" s="34" t="s">
        <v>286</v>
      </c>
      <c r="B122" s="35" t="s">
        <v>287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s="42" customFormat="1" ht="13.5">
      <c r="A123" s="118" t="s">
        <v>288</v>
      </c>
      <c r="B123" s="118"/>
      <c r="C123" s="322" t="s">
        <v>648</v>
      </c>
      <c r="D123" s="323" t="s">
        <v>391</v>
      </c>
      <c r="E123" s="41">
        <v>1</v>
      </c>
      <c r="F123" s="322"/>
      <c r="G123" s="322"/>
      <c r="H123" s="322"/>
      <c r="I123" s="322"/>
      <c r="J123" s="322"/>
      <c r="K123" s="141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s="42" customFormat="1" ht="13.5">
      <c r="A124" s="118" t="s">
        <v>289</v>
      </c>
      <c r="B124" s="118"/>
      <c r="C124" s="322" t="s">
        <v>655</v>
      </c>
      <c r="D124" s="323" t="s">
        <v>391</v>
      </c>
      <c r="E124" s="41">
        <v>1</v>
      </c>
      <c r="F124" s="142"/>
      <c r="G124" s="322"/>
      <c r="H124" s="142"/>
      <c r="I124" s="322"/>
      <c r="J124" s="322"/>
      <c r="K124" s="141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11" ht="14.25">
      <c r="A125" s="67" t="s">
        <v>298</v>
      </c>
      <c r="B125" s="67"/>
      <c r="C125" s="67"/>
      <c r="D125" s="67"/>
      <c r="E125" s="67"/>
      <c r="F125" s="67"/>
      <c r="G125" s="67"/>
      <c r="H125" s="67"/>
      <c r="I125" s="67"/>
      <c r="J125" s="267"/>
      <c r="K125" s="260"/>
    </row>
    <row r="126" spans="1:20" ht="13.5">
      <c r="A126" s="34" t="s">
        <v>299</v>
      </c>
      <c r="B126" s="35" t="s">
        <v>300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s="42" customFormat="1" ht="13.5">
      <c r="A127" s="37" t="s">
        <v>301</v>
      </c>
      <c r="B127" s="120">
        <v>5974</v>
      </c>
      <c r="C127" s="44" t="s">
        <v>656</v>
      </c>
      <c r="D127" s="40" t="s">
        <v>23</v>
      </c>
      <c r="E127" s="41">
        <f>(E54+E55)*2</f>
        <v>169.54800000000003</v>
      </c>
      <c r="F127" s="41"/>
      <c r="G127" s="41"/>
      <c r="H127" s="41"/>
      <c r="I127" s="41"/>
      <c r="J127" s="41"/>
      <c r="K127" s="41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s="42" customFormat="1" ht="13.5">
      <c r="A128" s="37" t="s">
        <v>303</v>
      </c>
      <c r="B128" s="120">
        <v>5975</v>
      </c>
      <c r="C128" s="44" t="s">
        <v>657</v>
      </c>
      <c r="D128" s="40" t="s">
        <v>23</v>
      </c>
      <c r="E128" s="41">
        <f>E13</f>
        <v>29.74</v>
      </c>
      <c r="F128" s="41"/>
      <c r="G128" s="41"/>
      <c r="H128" s="41"/>
      <c r="I128" s="41"/>
      <c r="J128" s="41"/>
      <c r="K128" s="41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s="42" customFormat="1" ht="23.25">
      <c r="A129" s="37" t="s">
        <v>304</v>
      </c>
      <c r="B129" s="120">
        <v>5982</v>
      </c>
      <c r="C129" s="44" t="s">
        <v>658</v>
      </c>
      <c r="D129" s="40" t="s">
        <v>23</v>
      </c>
      <c r="E129" s="41">
        <f>E128</f>
        <v>29.74</v>
      </c>
      <c r="F129" s="41"/>
      <c r="G129" s="41"/>
      <c r="H129" s="41"/>
      <c r="I129" s="41"/>
      <c r="J129" s="41"/>
      <c r="K129" s="41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s="42" customFormat="1" ht="23.25">
      <c r="A130" s="37" t="s">
        <v>305</v>
      </c>
      <c r="B130" s="120">
        <v>5992</v>
      </c>
      <c r="C130" s="44" t="s">
        <v>659</v>
      </c>
      <c r="D130" s="40" t="s">
        <v>23</v>
      </c>
      <c r="E130" s="41">
        <f>E127</f>
        <v>169.54800000000003</v>
      </c>
      <c r="F130" s="41"/>
      <c r="G130" s="41"/>
      <c r="H130" s="41"/>
      <c r="I130" s="41"/>
      <c r="J130" s="41"/>
      <c r="K130" s="41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s="42" customFormat="1" ht="15" customHeight="1">
      <c r="A131" s="37" t="s">
        <v>306</v>
      </c>
      <c r="B131" s="120">
        <v>9536</v>
      </c>
      <c r="C131" s="44" t="s">
        <v>663</v>
      </c>
      <c r="D131" s="40" t="s">
        <v>23</v>
      </c>
      <c r="E131" s="295">
        <f>2*2.08</f>
        <v>4.16</v>
      </c>
      <c r="F131" s="41"/>
      <c r="G131" s="41"/>
      <c r="H131" s="41"/>
      <c r="I131" s="41"/>
      <c r="J131" s="41"/>
      <c r="K131" s="41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s="42" customFormat="1" ht="15" customHeight="1">
      <c r="A132" s="37" t="s">
        <v>307</v>
      </c>
      <c r="B132" s="250" t="s">
        <v>664</v>
      </c>
      <c r="C132" s="89" t="s">
        <v>665</v>
      </c>
      <c r="D132" s="196" t="s">
        <v>23</v>
      </c>
      <c r="E132" s="39">
        <f>E133</f>
        <v>29.74</v>
      </c>
      <c r="F132" s="41"/>
      <c r="G132" s="41"/>
      <c r="H132" s="41"/>
      <c r="I132" s="41"/>
      <c r="J132" s="41"/>
      <c r="K132" s="41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s="42" customFormat="1" ht="23.25">
      <c r="A133" s="37" t="s">
        <v>308</v>
      </c>
      <c r="B133" s="120" t="s">
        <v>838</v>
      </c>
      <c r="C133" s="47" t="s">
        <v>839</v>
      </c>
      <c r="D133" s="40" t="s">
        <v>23</v>
      </c>
      <c r="E133" s="41">
        <f>E128</f>
        <v>29.74</v>
      </c>
      <c r="F133" s="41"/>
      <c r="G133" s="41"/>
      <c r="H133" s="41"/>
      <c r="I133" s="41"/>
      <c r="J133" s="41"/>
      <c r="K133" s="41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s="42" customFormat="1" ht="13.5">
      <c r="A134" s="37" t="s">
        <v>309</v>
      </c>
      <c r="B134" s="120" t="s">
        <v>674</v>
      </c>
      <c r="C134" s="249" t="s">
        <v>675</v>
      </c>
      <c r="D134" s="40" t="s">
        <v>189</v>
      </c>
      <c r="E134" s="41">
        <f>(1.5+0.5+0.5)*1.1</f>
        <v>2.75</v>
      </c>
      <c r="F134" s="41"/>
      <c r="G134" s="41"/>
      <c r="H134" s="41"/>
      <c r="I134" s="41"/>
      <c r="J134" s="41"/>
      <c r="K134" s="41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s="42" customFormat="1" ht="13.5">
      <c r="A135" s="37" t="s">
        <v>310</v>
      </c>
      <c r="B135" s="120" t="s">
        <v>677</v>
      </c>
      <c r="C135" s="46" t="s">
        <v>678</v>
      </c>
      <c r="D135" s="40" t="s">
        <v>189</v>
      </c>
      <c r="E135" s="41">
        <f>(1.8+0.8+0.8)*1.1</f>
        <v>3.7400000000000007</v>
      </c>
      <c r="F135" s="41"/>
      <c r="G135" s="41"/>
      <c r="H135" s="41"/>
      <c r="I135" s="41"/>
      <c r="J135" s="41"/>
      <c r="K135" s="41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s="42" customFormat="1" ht="23.25">
      <c r="A136" s="37" t="s">
        <v>311</v>
      </c>
      <c r="B136" s="120" t="s">
        <v>838</v>
      </c>
      <c r="C136" s="47" t="s">
        <v>840</v>
      </c>
      <c r="D136" s="40" t="s">
        <v>23</v>
      </c>
      <c r="E136" s="41">
        <f>(1.4*((9.77*2)+9.2))*1.1</f>
        <v>44.2596</v>
      </c>
      <c r="F136" s="41"/>
      <c r="G136" s="41"/>
      <c r="H136" s="41"/>
      <c r="I136" s="41"/>
      <c r="J136" s="41"/>
      <c r="K136" s="41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13.5">
      <c r="A137" s="67" t="s">
        <v>313</v>
      </c>
      <c r="B137" s="67"/>
      <c r="C137" s="67"/>
      <c r="D137" s="67"/>
      <c r="E137" s="67"/>
      <c r="F137" s="67"/>
      <c r="G137" s="67"/>
      <c r="H137" s="67"/>
      <c r="I137" s="67"/>
      <c r="J137" s="53"/>
      <c r="K137" s="53"/>
      <c r="L137" s="68"/>
      <c r="M137" s="36"/>
      <c r="N137" s="36"/>
      <c r="O137" s="36"/>
      <c r="P137" s="36"/>
      <c r="Q137" s="36"/>
      <c r="R137" s="36"/>
      <c r="S137" s="36"/>
      <c r="T137" s="36"/>
    </row>
    <row r="138" spans="1:21" s="73" customFormat="1" ht="13.5">
      <c r="A138" s="69" t="s">
        <v>314</v>
      </c>
      <c r="B138" s="85" t="s">
        <v>315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71"/>
      <c r="M138" s="72"/>
      <c r="N138" s="72"/>
      <c r="O138" s="72"/>
      <c r="P138" s="72"/>
      <c r="Q138" s="72"/>
      <c r="R138" s="72"/>
      <c r="S138" s="72"/>
      <c r="T138" s="72"/>
      <c r="U138" s="72"/>
    </row>
    <row r="139" spans="1:21" s="78" customFormat="1" ht="13.5">
      <c r="A139" s="74" t="s">
        <v>316</v>
      </c>
      <c r="B139" s="253">
        <v>72116</v>
      </c>
      <c r="C139" s="76" t="s">
        <v>858</v>
      </c>
      <c r="D139" s="75" t="s">
        <v>23</v>
      </c>
      <c r="E139" s="41">
        <f>0.6*0.6*2</f>
        <v>0.7200000000000002</v>
      </c>
      <c r="F139" s="41"/>
      <c r="G139" s="41"/>
      <c r="H139" s="41"/>
      <c r="I139" s="41"/>
      <c r="J139" s="41"/>
      <c r="K139" s="41"/>
      <c r="L139" s="71"/>
      <c r="M139" s="72"/>
      <c r="N139" s="72"/>
      <c r="O139" s="72"/>
      <c r="P139" s="72"/>
      <c r="Q139" s="72"/>
      <c r="R139" s="72"/>
      <c r="S139" s="72"/>
      <c r="T139" s="72"/>
      <c r="U139" s="72"/>
    </row>
    <row r="140" spans="1:21" s="78" customFormat="1" ht="13.5">
      <c r="A140" s="74" t="s">
        <v>317</v>
      </c>
      <c r="B140" s="253">
        <v>72116</v>
      </c>
      <c r="C140" s="76" t="s">
        <v>842</v>
      </c>
      <c r="D140" s="75" t="s">
        <v>23</v>
      </c>
      <c r="E140" s="41">
        <f>1.5*1.2</f>
        <v>1.7999999999999998</v>
      </c>
      <c r="F140" s="41"/>
      <c r="G140" s="41"/>
      <c r="H140" s="41"/>
      <c r="I140" s="41"/>
      <c r="J140" s="41"/>
      <c r="K140" s="41"/>
      <c r="L140" s="71"/>
      <c r="M140" s="72"/>
      <c r="N140" s="72"/>
      <c r="O140" s="72"/>
      <c r="P140" s="72"/>
      <c r="Q140" s="72"/>
      <c r="R140" s="72"/>
      <c r="S140" s="72"/>
      <c r="T140" s="72"/>
      <c r="U140" s="72"/>
    </row>
    <row r="141" spans="1:21" s="78" customFormat="1" ht="13.5">
      <c r="A141" s="74" t="s">
        <v>317</v>
      </c>
      <c r="B141" s="253">
        <v>72122</v>
      </c>
      <c r="C141" s="76" t="s">
        <v>804</v>
      </c>
      <c r="D141" s="75" t="s">
        <v>23</v>
      </c>
      <c r="E141" s="41">
        <f>0.5*0.6*2</f>
        <v>0.6000000000000001</v>
      </c>
      <c r="F141" s="41"/>
      <c r="G141" s="41"/>
      <c r="H141" s="41"/>
      <c r="I141" s="41"/>
      <c r="J141" s="41"/>
      <c r="K141" s="41"/>
      <c r="L141" s="71"/>
      <c r="M141" s="72"/>
      <c r="N141" s="72"/>
      <c r="O141" s="72"/>
      <c r="P141" s="72"/>
      <c r="Q141" s="72"/>
      <c r="R141" s="72"/>
      <c r="S141" s="72"/>
      <c r="T141" s="72"/>
      <c r="U141" s="72"/>
    </row>
    <row r="142" spans="1:21" s="73" customFormat="1" ht="13.5">
      <c r="A142" s="122" t="s">
        <v>326</v>
      </c>
      <c r="B142" s="122"/>
      <c r="C142" s="122"/>
      <c r="D142" s="122"/>
      <c r="E142" s="122"/>
      <c r="F142" s="122"/>
      <c r="G142" s="122"/>
      <c r="H142" s="122"/>
      <c r="I142" s="122"/>
      <c r="J142" s="53"/>
      <c r="K142" s="53"/>
      <c r="L142" s="80"/>
      <c r="M142" s="72"/>
      <c r="N142" s="72"/>
      <c r="O142" s="72"/>
      <c r="P142" s="72"/>
      <c r="Q142" s="72"/>
      <c r="R142" s="72"/>
      <c r="S142" s="72"/>
      <c r="T142" s="72"/>
      <c r="U142" s="72"/>
    </row>
    <row r="143" spans="1:20" s="42" customFormat="1" ht="13.5">
      <c r="A143" s="34" t="s">
        <v>327</v>
      </c>
      <c r="B143" s="123" t="s">
        <v>328</v>
      </c>
      <c r="C143" s="123"/>
      <c r="D143" s="123"/>
      <c r="E143" s="123"/>
      <c r="F143" s="123"/>
      <c r="G143" s="123"/>
      <c r="H143" s="123"/>
      <c r="I143" s="123"/>
      <c r="J143" s="123"/>
      <c r="K143" s="123"/>
      <c r="L143" s="68"/>
      <c r="M143" s="36"/>
      <c r="N143" s="36"/>
      <c r="O143" s="36"/>
      <c r="P143" s="36"/>
      <c r="Q143" s="36"/>
      <c r="R143" s="36"/>
      <c r="S143" s="36"/>
      <c r="T143" s="36"/>
    </row>
    <row r="144" spans="1:20" s="42" customFormat="1" ht="13.5">
      <c r="A144" s="37" t="s">
        <v>329</v>
      </c>
      <c r="B144" s="38" t="s">
        <v>692</v>
      </c>
      <c r="C144" s="46" t="s">
        <v>693</v>
      </c>
      <c r="D144" s="40" t="s">
        <v>23</v>
      </c>
      <c r="E144" s="41">
        <f>E127+E128-(E136/1.1)</f>
        <v>159.05200000000005</v>
      </c>
      <c r="F144" s="41"/>
      <c r="G144" s="41"/>
      <c r="H144" s="41"/>
      <c r="I144" s="41"/>
      <c r="J144" s="41"/>
      <c r="K144" s="41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s="42" customFormat="1" ht="13.5">
      <c r="A145" s="37" t="s">
        <v>330</v>
      </c>
      <c r="B145" s="120">
        <v>79460</v>
      </c>
      <c r="C145" s="46" t="s">
        <v>866</v>
      </c>
      <c r="D145" s="40" t="s">
        <v>23</v>
      </c>
      <c r="E145" s="41">
        <f>(2.05*((9.77*2)+9.2))</f>
        <v>58.916999999999994</v>
      </c>
      <c r="F145" s="41"/>
      <c r="G145" s="41"/>
      <c r="H145" s="41"/>
      <c r="I145" s="41"/>
      <c r="J145" s="41"/>
      <c r="K145" s="41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s="42" customFormat="1" ht="13.5">
      <c r="A146" s="37"/>
      <c r="B146" s="120">
        <v>79462</v>
      </c>
      <c r="C146" s="46" t="s">
        <v>867</v>
      </c>
      <c r="D146" s="40" t="s">
        <v>23</v>
      </c>
      <c r="E146" s="41">
        <f>E145</f>
        <v>58.916999999999994</v>
      </c>
      <c r="F146" s="41"/>
      <c r="G146" s="41"/>
      <c r="H146" s="41"/>
      <c r="I146" s="41"/>
      <c r="J146" s="41"/>
      <c r="K146" s="41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s="42" customFormat="1" ht="13.5">
      <c r="A147" s="37" t="s">
        <v>331</v>
      </c>
      <c r="B147" s="38" t="s">
        <v>696</v>
      </c>
      <c r="C147" s="46" t="s">
        <v>697</v>
      </c>
      <c r="D147" s="40" t="s">
        <v>23</v>
      </c>
      <c r="E147" s="41">
        <f>E131*1.15</f>
        <v>4.784</v>
      </c>
      <c r="F147" s="41"/>
      <c r="G147" s="41"/>
      <c r="H147" s="41"/>
      <c r="I147" s="41"/>
      <c r="J147" s="41"/>
      <c r="K147" s="41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s="42" customFormat="1" ht="13.5">
      <c r="A148" s="37" t="s">
        <v>332</v>
      </c>
      <c r="B148" s="38" t="s">
        <v>694</v>
      </c>
      <c r="C148" s="46" t="s">
        <v>695</v>
      </c>
      <c r="D148" s="40" t="s">
        <v>23</v>
      </c>
      <c r="E148" s="41">
        <f>E144-E145</f>
        <v>100.13500000000005</v>
      </c>
      <c r="F148" s="41"/>
      <c r="G148" s="41"/>
      <c r="H148" s="41"/>
      <c r="I148" s="41"/>
      <c r="J148" s="41"/>
      <c r="K148" s="41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s="42" customFormat="1" ht="14.25">
      <c r="A149" s="67" t="s">
        <v>339</v>
      </c>
      <c r="B149" s="67"/>
      <c r="C149" s="67"/>
      <c r="D149" s="67"/>
      <c r="E149" s="67"/>
      <c r="F149" s="67"/>
      <c r="G149" s="67"/>
      <c r="H149" s="67"/>
      <c r="I149" s="67"/>
      <c r="J149" s="267"/>
      <c r="K149" s="267"/>
      <c r="L149" s="68"/>
      <c r="M149" s="36"/>
      <c r="N149" s="36"/>
      <c r="O149" s="36"/>
      <c r="P149" s="36"/>
      <c r="Q149" s="36"/>
      <c r="R149" s="36"/>
      <c r="S149" s="36"/>
      <c r="T149" s="36"/>
    </row>
    <row r="150" spans="1:22" s="73" customFormat="1" ht="13.5">
      <c r="A150" s="69" t="s">
        <v>340</v>
      </c>
      <c r="B150" s="70" t="s">
        <v>341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1"/>
      <c r="M150" s="72"/>
      <c r="N150" s="72"/>
      <c r="O150" s="72"/>
      <c r="P150" s="72"/>
      <c r="Q150" s="72"/>
      <c r="R150" s="72"/>
      <c r="S150" s="72"/>
      <c r="T150" s="72"/>
      <c r="U150" s="72"/>
      <c r="V150" s="72"/>
    </row>
    <row r="151" spans="1:22" s="73" customFormat="1" ht="13.5">
      <c r="A151" s="69" t="s">
        <v>342</v>
      </c>
      <c r="B151" s="139" t="s">
        <v>354</v>
      </c>
      <c r="C151" s="131" t="s">
        <v>699</v>
      </c>
      <c r="D151" s="140" t="s">
        <v>23</v>
      </c>
      <c r="E151" s="76">
        <f>53.39-26.81</f>
        <v>26.580000000000002</v>
      </c>
      <c r="F151" s="141"/>
      <c r="G151" s="41"/>
      <c r="H151" s="41"/>
      <c r="I151" s="41"/>
      <c r="J151" s="41"/>
      <c r="K151" s="41"/>
      <c r="L151" s="71"/>
      <c r="M151" s="72"/>
      <c r="N151" s="72"/>
      <c r="O151" s="72"/>
      <c r="P151" s="72"/>
      <c r="Q151" s="72"/>
      <c r="R151" s="72"/>
      <c r="S151" s="72"/>
      <c r="T151" s="72"/>
      <c r="U151" s="72"/>
      <c r="V151" s="72"/>
    </row>
    <row r="152" spans="1:22" s="73" customFormat="1" ht="14.25">
      <c r="A152" s="79" t="s">
        <v>405</v>
      </c>
      <c r="B152" s="79"/>
      <c r="C152" s="79"/>
      <c r="D152" s="79"/>
      <c r="E152" s="79"/>
      <c r="F152" s="79"/>
      <c r="G152" s="79"/>
      <c r="H152" s="79"/>
      <c r="I152" s="79"/>
      <c r="J152" s="267"/>
      <c r="K152" s="267"/>
      <c r="L152" s="80"/>
      <c r="M152" s="72"/>
      <c r="N152" s="72"/>
      <c r="O152" s="72"/>
      <c r="P152" s="72"/>
      <c r="Q152" s="72"/>
      <c r="R152" s="72"/>
      <c r="S152" s="72"/>
      <c r="T152" s="72"/>
      <c r="U152" s="72"/>
      <c r="V152" s="72"/>
    </row>
    <row r="153" spans="1:12" ht="13.5">
      <c r="A153" s="34" t="s">
        <v>406</v>
      </c>
      <c r="B153" s="143" t="s">
        <v>407</v>
      </c>
      <c r="C153" s="143"/>
      <c r="D153" s="143"/>
      <c r="E153" s="143"/>
      <c r="F153" s="143"/>
      <c r="G153" s="143"/>
      <c r="H153" s="143"/>
      <c r="I153" s="143"/>
      <c r="J153" s="143"/>
      <c r="K153" s="143"/>
      <c r="L153" s="144"/>
    </row>
    <row r="154" spans="1:11" s="42" customFormat="1" ht="13.5">
      <c r="A154" s="37" t="s">
        <v>408</v>
      </c>
      <c r="B154" s="120">
        <v>9537</v>
      </c>
      <c r="C154" s="36" t="s">
        <v>700</v>
      </c>
      <c r="D154" s="40" t="s">
        <v>23</v>
      </c>
      <c r="E154" s="41">
        <f>E13</f>
        <v>29.74</v>
      </c>
      <c r="F154" s="41"/>
      <c r="G154" s="41"/>
      <c r="H154" s="41"/>
      <c r="I154" s="41"/>
      <c r="J154" s="41"/>
      <c r="K154" s="41"/>
    </row>
    <row r="155" spans="1:11" ht="14.25">
      <c r="A155" s="67" t="s">
        <v>424</v>
      </c>
      <c r="B155" s="67"/>
      <c r="C155" s="67"/>
      <c r="D155" s="67"/>
      <c r="E155" s="67"/>
      <c r="F155" s="67"/>
      <c r="G155" s="67"/>
      <c r="H155" s="67"/>
      <c r="I155" s="67"/>
      <c r="J155" s="267"/>
      <c r="K155" s="260"/>
    </row>
    <row r="156" spans="1:11" s="151" customFormat="1" ht="13.5">
      <c r="A156" s="148"/>
      <c r="B156" s="149"/>
      <c r="C156" s="150"/>
      <c r="D156" s="150"/>
      <c r="E156" s="150"/>
      <c r="F156" s="150"/>
      <c r="G156" s="150"/>
      <c r="H156" s="150"/>
      <c r="I156" s="150"/>
      <c r="J156" s="150"/>
      <c r="K156" s="150"/>
    </row>
    <row r="157" spans="1:11" s="154" customFormat="1" ht="15.75">
      <c r="A157" s="152" t="s">
        <v>425</v>
      </c>
      <c r="B157" s="152"/>
      <c r="C157" s="152"/>
      <c r="D157" s="152"/>
      <c r="E157" s="152"/>
      <c r="F157" s="152"/>
      <c r="G157" s="152"/>
      <c r="H157" s="152"/>
      <c r="I157" s="152"/>
      <c r="J157" s="153"/>
      <c r="K157" s="153"/>
    </row>
  </sheetData>
  <sheetProtection selectLockedCells="1" selectUnlockedCells="1"/>
  <mergeCells count="48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O9"/>
    <mergeCell ref="P9:T9"/>
    <mergeCell ref="B11:K11"/>
    <mergeCell ref="A14:I14"/>
    <mergeCell ref="B15:K15"/>
    <mergeCell ref="A22:I22"/>
    <mergeCell ref="B23:K23"/>
    <mergeCell ref="A35:I35"/>
    <mergeCell ref="B36:K36"/>
    <mergeCell ref="A52:I52"/>
    <mergeCell ref="B53:K53"/>
    <mergeCell ref="A57:I57"/>
    <mergeCell ref="B58:K58"/>
    <mergeCell ref="A66:I66"/>
    <mergeCell ref="B67:K67"/>
    <mergeCell ref="A73:I73"/>
    <mergeCell ref="B74:K74"/>
    <mergeCell ref="A84:I84"/>
    <mergeCell ref="B85:K85"/>
    <mergeCell ref="A93:I93"/>
    <mergeCell ref="B94:K94"/>
    <mergeCell ref="A118:I118"/>
    <mergeCell ref="B119:K119"/>
    <mergeCell ref="A121:I121"/>
    <mergeCell ref="B122:K122"/>
    <mergeCell ref="A125:I125"/>
    <mergeCell ref="B126:K126"/>
    <mergeCell ref="A137:I137"/>
    <mergeCell ref="B138:K138"/>
    <mergeCell ref="A142:I142"/>
    <mergeCell ref="B143:K143"/>
    <mergeCell ref="A149:I149"/>
    <mergeCell ref="B150:K150"/>
    <mergeCell ref="A152:I152"/>
    <mergeCell ref="B153:K153"/>
    <mergeCell ref="A155:I155"/>
    <mergeCell ref="C156:K156"/>
    <mergeCell ref="A157:I157"/>
  </mergeCells>
  <printOptions/>
  <pageMargins left="0.5118055555555555" right="0.5118055555555555" top="0.7875" bottom="0.7875" header="0.5118055555555555" footer="0.31527777777777777"/>
  <pageSetup fitToHeight="10" fitToWidth="1" horizontalDpi="300" verticalDpi="300" orientation="landscape" paperSize="77"/>
  <headerFooter alignWithMargins="0">
    <oddFooter>&amp;L&amp;"Calibri,Regular"&amp;11ISOLAMENTO&amp;C&amp;"Calibri,Regular"&amp;11Página &amp;P de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zoomScale="90" zoomScaleNormal="90" workbookViewId="0" topLeftCell="A1">
      <pane ySplit="65535" topLeftCell="A1" activePane="topLeft" state="split"/>
      <selection pane="topLeft" activeCell="A11" sqref="A11"/>
      <selection pane="bottomLeft" activeCell="A1" sqref="A1"/>
    </sheetView>
  </sheetViews>
  <sheetFormatPr defaultColWidth="9.140625" defaultRowHeight="12.75"/>
  <cols>
    <col min="1" max="1" width="6.28125" style="1" customWidth="1"/>
    <col min="2" max="2" width="12.421875" style="1" customWidth="1"/>
    <col min="3" max="3" width="70.28125" style="2" customWidth="1"/>
    <col min="4" max="4" width="10.140625" style="3" customWidth="1"/>
    <col min="5" max="5" width="11.8515625" style="4" customWidth="1"/>
    <col min="6" max="9" width="17.28125" style="2" customWidth="1"/>
    <col min="10" max="11" width="14.421875" style="2" customWidth="1"/>
    <col min="12" max="12" width="10.421875" style="2" customWidth="1"/>
    <col min="13" max="13" width="9.421875" style="2" customWidth="1"/>
    <col min="14" max="14" width="13.8515625" style="2" customWidth="1"/>
    <col min="15" max="18" width="9.421875" style="2" customWidth="1"/>
    <col min="19" max="19" width="14.140625" style="2" customWidth="1"/>
    <col min="20" max="16384" width="9.421875" style="2" customWidth="1"/>
  </cols>
  <sheetData>
    <row r="1" spans="1:11" s="6" customFormat="1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4:8" ht="14.25">
      <c r="D2" s="7"/>
      <c r="E2" s="8"/>
      <c r="F2" s="3"/>
      <c r="G2" s="3"/>
      <c r="H2" s="3"/>
    </row>
    <row r="3" spans="4:11" ht="18">
      <c r="D3" s="9" t="s">
        <v>902</v>
      </c>
      <c r="E3" s="10"/>
      <c r="F3" s="10"/>
      <c r="G3" s="10"/>
      <c r="H3" s="11"/>
      <c r="J3" s="12"/>
      <c r="K3" s="13"/>
    </row>
    <row r="4" spans="4:11" ht="14.25">
      <c r="D4" s="14" t="s">
        <v>2</v>
      </c>
      <c r="E4" s="15"/>
      <c r="F4" s="16"/>
      <c r="G4" s="16"/>
      <c r="H4" s="17"/>
      <c r="J4" s="18"/>
      <c r="K4" s="13"/>
    </row>
    <row r="5" spans="4:11" ht="14.25">
      <c r="D5" s="19" t="s">
        <v>903</v>
      </c>
      <c r="E5" s="19"/>
      <c r="F5" s="19"/>
      <c r="G5" s="19"/>
      <c r="H5" s="17"/>
      <c r="J5" s="18"/>
      <c r="K5" s="13"/>
    </row>
    <row r="6" spans="4:11" ht="14.25">
      <c r="D6" s="20" t="s">
        <v>811</v>
      </c>
      <c r="E6" s="20"/>
      <c r="F6" s="20"/>
      <c r="G6" s="20"/>
      <c r="H6" s="17"/>
      <c r="J6" s="18"/>
      <c r="K6" s="13"/>
    </row>
    <row r="7" spans="4:11" ht="14.25">
      <c r="D7" s="19" t="s">
        <v>5</v>
      </c>
      <c r="E7" s="19"/>
      <c r="F7" s="19"/>
      <c r="G7" s="19"/>
      <c r="H7" s="17"/>
      <c r="J7" s="18"/>
      <c r="K7" s="13"/>
    </row>
    <row r="8" spans="10:11" ht="14.25">
      <c r="J8" s="13"/>
      <c r="K8" s="13"/>
    </row>
    <row r="9" spans="1:20" s="6" customFormat="1" ht="15" customHeight="1">
      <c r="A9" s="21" t="s">
        <v>6</v>
      </c>
      <c r="B9" s="21" t="s">
        <v>7</v>
      </c>
      <c r="C9" s="21" t="s">
        <v>8</v>
      </c>
      <c r="D9" s="21" t="s">
        <v>9</v>
      </c>
      <c r="E9" s="22" t="s">
        <v>10</v>
      </c>
      <c r="F9" s="21" t="s">
        <v>11</v>
      </c>
      <c r="G9" s="21"/>
      <c r="H9" s="23" t="s">
        <v>12</v>
      </c>
      <c r="I9" s="23"/>
      <c r="J9" s="24" t="s">
        <v>13</v>
      </c>
      <c r="K9" s="25" t="s">
        <v>14</v>
      </c>
      <c r="L9" s="26"/>
      <c r="M9" s="26"/>
      <c r="N9" s="26"/>
      <c r="O9" s="26"/>
      <c r="P9" s="27"/>
      <c r="Q9" s="27"/>
      <c r="R9" s="27"/>
      <c r="S9" s="27"/>
      <c r="T9" s="27"/>
    </row>
    <row r="10" spans="1:20" ht="13.5">
      <c r="A10" s="21"/>
      <c r="B10" s="21"/>
      <c r="C10" s="21"/>
      <c r="D10" s="21"/>
      <c r="E10" s="22"/>
      <c r="F10" s="28" t="s">
        <v>15</v>
      </c>
      <c r="G10" s="29" t="s">
        <v>16</v>
      </c>
      <c r="H10" s="29" t="s">
        <v>15</v>
      </c>
      <c r="I10" s="29" t="s">
        <v>16</v>
      </c>
      <c r="J10" s="29" t="s">
        <v>17</v>
      </c>
      <c r="K10" s="31">
        <f>E4</f>
        <v>0</v>
      </c>
      <c r="L10" s="32"/>
      <c r="M10" s="33"/>
      <c r="N10" s="33"/>
      <c r="O10" s="33"/>
      <c r="P10" s="32"/>
      <c r="Q10" s="32"/>
      <c r="R10" s="33"/>
      <c r="S10" s="33"/>
      <c r="T10" s="32"/>
    </row>
    <row r="11" spans="1:20" ht="13.5">
      <c r="A11" s="34" t="s">
        <v>18</v>
      </c>
      <c r="B11" s="3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42" customFormat="1" ht="13.5">
      <c r="A12" s="37" t="s">
        <v>20</v>
      </c>
      <c r="B12" s="43">
        <v>73672</v>
      </c>
      <c r="C12" s="39" t="s">
        <v>25</v>
      </c>
      <c r="D12" s="40" t="s">
        <v>23</v>
      </c>
      <c r="E12" s="41">
        <v>324</v>
      </c>
      <c r="F12" s="41"/>
      <c r="G12" s="41"/>
      <c r="H12" s="41"/>
      <c r="I12" s="41"/>
      <c r="J12" s="41"/>
      <c r="K12" s="41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2" customFormat="1" ht="23.25">
      <c r="A13" s="37" t="s">
        <v>24</v>
      </c>
      <c r="B13" s="38" t="s">
        <v>42</v>
      </c>
      <c r="C13" s="44" t="s">
        <v>43</v>
      </c>
      <c r="D13" s="40" t="s">
        <v>23</v>
      </c>
      <c r="E13" s="41">
        <v>55.08</v>
      </c>
      <c r="F13" s="41"/>
      <c r="G13" s="41"/>
      <c r="H13" s="41"/>
      <c r="I13" s="41"/>
      <c r="J13" s="41"/>
      <c r="K13" s="41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3.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3"/>
      <c r="K14" s="54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3.5">
      <c r="A15" s="34" t="s">
        <v>65</v>
      </c>
      <c r="B15" s="35" t="s">
        <v>66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91" customFormat="1" ht="14.25">
      <c r="A16" s="203" t="s">
        <v>67</v>
      </c>
      <c r="B16" s="329" t="s">
        <v>68</v>
      </c>
      <c r="C16" s="316" t="s">
        <v>69</v>
      </c>
      <c r="D16" s="196" t="s">
        <v>346</v>
      </c>
      <c r="E16" s="83">
        <f>E12*1.5</f>
        <v>486</v>
      </c>
      <c r="F16" s="83"/>
      <c r="G16" s="83"/>
      <c r="H16" s="83"/>
      <c r="I16" s="83"/>
      <c r="J16" s="83"/>
      <c r="K16" s="83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91" customFormat="1" ht="14.25">
      <c r="A17" s="203" t="s">
        <v>430</v>
      </c>
      <c r="B17" s="57" t="s">
        <v>428</v>
      </c>
      <c r="C17" s="58" t="s">
        <v>429</v>
      </c>
      <c r="D17" s="40" t="s">
        <v>23</v>
      </c>
      <c r="E17" s="41">
        <f>E12/3</f>
        <v>108</v>
      </c>
      <c r="F17" s="41"/>
      <c r="G17" s="41"/>
      <c r="H17" s="41"/>
      <c r="I17" s="41"/>
      <c r="J17" s="41"/>
      <c r="K17" s="83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173" customFormat="1" ht="14.25">
      <c r="A18" s="203" t="s">
        <v>70</v>
      </c>
      <c r="B18" s="174">
        <v>6430</v>
      </c>
      <c r="C18" s="58" t="s">
        <v>359</v>
      </c>
      <c r="D18" s="40" t="s">
        <v>346</v>
      </c>
      <c r="E18" s="41">
        <v>9.83</v>
      </c>
      <c r="F18" s="41"/>
      <c r="G18" s="41"/>
      <c r="H18" s="41"/>
      <c r="I18" s="41"/>
      <c r="J18" s="41"/>
      <c r="K18" s="83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4.25">
      <c r="A19" s="67" t="s">
        <v>80</v>
      </c>
      <c r="B19" s="67"/>
      <c r="C19" s="67"/>
      <c r="D19" s="67"/>
      <c r="E19" s="67"/>
      <c r="F19" s="67"/>
      <c r="G19" s="67"/>
      <c r="H19" s="67"/>
      <c r="I19" s="67"/>
      <c r="J19" s="53"/>
      <c r="K19" s="260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3.5">
      <c r="A20" s="34" t="s">
        <v>81</v>
      </c>
      <c r="B20" s="35" t="s">
        <v>82</v>
      </c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42" customFormat="1" ht="13.5">
      <c r="A21" s="37" t="s">
        <v>83</v>
      </c>
      <c r="B21" s="37"/>
      <c r="C21" s="176" t="s">
        <v>436</v>
      </c>
      <c r="D21" s="177" t="s">
        <v>23</v>
      </c>
      <c r="E21" s="178">
        <f>(5.4+5.4+10.2+10.2)*0.75</f>
        <v>23.4</v>
      </c>
      <c r="F21" s="178"/>
      <c r="G21" s="178"/>
      <c r="H21" s="178"/>
      <c r="I21" s="178"/>
      <c r="J21" s="178"/>
      <c r="K21" s="178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42" customFormat="1" ht="13.5">
      <c r="A22" s="37" t="s">
        <v>84</v>
      </c>
      <c r="B22" s="37" t="s">
        <v>437</v>
      </c>
      <c r="C22" s="176" t="s">
        <v>438</v>
      </c>
      <c r="D22" s="177" t="s">
        <v>346</v>
      </c>
      <c r="E22" s="178">
        <v>2.8</v>
      </c>
      <c r="F22" s="178"/>
      <c r="G22" s="178"/>
      <c r="H22" s="178"/>
      <c r="I22" s="178"/>
      <c r="J22" s="178"/>
      <c r="K22" s="178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42" customFormat="1" ht="13.5">
      <c r="A23" s="37" t="s">
        <v>85</v>
      </c>
      <c r="B23" s="37" t="s">
        <v>439</v>
      </c>
      <c r="C23" s="176" t="s">
        <v>440</v>
      </c>
      <c r="D23" s="177" t="s">
        <v>346</v>
      </c>
      <c r="E23" s="178">
        <v>2.8</v>
      </c>
      <c r="F23" s="178"/>
      <c r="G23" s="178"/>
      <c r="H23" s="178"/>
      <c r="I23" s="178"/>
      <c r="J23" s="178"/>
      <c r="K23" s="178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42" customFormat="1" ht="13.5">
      <c r="A24" s="37" t="s">
        <v>86</v>
      </c>
      <c r="B24" s="37"/>
      <c r="C24" s="176" t="s">
        <v>441</v>
      </c>
      <c r="D24" s="177" t="s">
        <v>346</v>
      </c>
      <c r="E24" s="178">
        <v>0.46</v>
      </c>
      <c r="F24" s="178"/>
      <c r="G24" s="178"/>
      <c r="H24" s="178"/>
      <c r="I24" s="178"/>
      <c r="J24" s="178"/>
      <c r="K24" s="178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42" customFormat="1" ht="13.5">
      <c r="A25" s="37" t="s">
        <v>87</v>
      </c>
      <c r="B25" s="37"/>
      <c r="C25" s="176" t="s">
        <v>442</v>
      </c>
      <c r="D25" s="177" t="s">
        <v>346</v>
      </c>
      <c r="E25" s="178">
        <v>6.72</v>
      </c>
      <c r="F25" s="178"/>
      <c r="G25" s="178"/>
      <c r="H25" s="178"/>
      <c r="I25" s="178"/>
      <c r="J25" s="178"/>
      <c r="K25" s="178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2" customFormat="1" ht="13.5">
      <c r="A26" s="37" t="s">
        <v>88</v>
      </c>
      <c r="B26" s="37" t="s">
        <v>439</v>
      </c>
      <c r="C26" s="176" t="s">
        <v>443</v>
      </c>
      <c r="D26" s="177" t="s">
        <v>346</v>
      </c>
      <c r="E26" s="178">
        <v>6.72</v>
      </c>
      <c r="F26" s="178"/>
      <c r="G26" s="178"/>
      <c r="H26" s="178"/>
      <c r="I26" s="178"/>
      <c r="J26" s="178"/>
      <c r="K26" s="178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13.5">
      <c r="A27" s="37" t="s">
        <v>89</v>
      </c>
      <c r="B27" s="37"/>
      <c r="C27" s="176" t="s">
        <v>444</v>
      </c>
      <c r="D27" s="177" t="s">
        <v>23</v>
      </c>
      <c r="E27" s="178">
        <v>6.4</v>
      </c>
      <c r="F27" s="178"/>
      <c r="G27" s="178"/>
      <c r="H27" s="178"/>
      <c r="I27" s="178"/>
      <c r="J27" s="178"/>
      <c r="K27" s="178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42" customFormat="1" ht="23.25">
      <c r="A28" s="37" t="s">
        <v>90</v>
      </c>
      <c r="B28" s="179" t="s">
        <v>445</v>
      </c>
      <c r="C28" s="180" t="s">
        <v>446</v>
      </c>
      <c r="D28" s="177" t="s">
        <v>447</v>
      </c>
      <c r="E28" s="178">
        <v>114.4</v>
      </c>
      <c r="F28" s="178"/>
      <c r="G28" s="178"/>
      <c r="H28" s="178"/>
      <c r="I28" s="178"/>
      <c r="J28" s="178"/>
      <c r="K28" s="178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3.5">
      <c r="A29" s="67" t="s">
        <v>93</v>
      </c>
      <c r="B29" s="67"/>
      <c r="C29" s="67"/>
      <c r="D29" s="67"/>
      <c r="E29" s="67"/>
      <c r="F29" s="67"/>
      <c r="G29" s="67"/>
      <c r="H29" s="67"/>
      <c r="I29" s="67"/>
      <c r="J29" s="53"/>
      <c r="K29" s="53"/>
      <c r="L29" s="68"/>
      <c r="M29" s="36"/>
      <c r="N29" s="36"/>
      <c r="O29" s="36"/>
      <c r="P29" s="36"/>
      <c r="Q29" s="36"/>
      <c r="R29" s="36"/>
      <c r="S29" s="36"/>
      <c r="T29" s="36"/>
    </row>
    <row r="30" spans="1:22" s="73" customFormat="1" ht="13.5">
      <c r="A30" s="69" t="s">
        <v>94</v>
      </c>
      <c r="B30" s="70" t="s">
        <v>95</v>
      </c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s="78" customFormat="1" ht="23.25">
      <c r="A31" s="69" t="s">
        <v>96</v>
      </c>
      <c r="B31" s="182"/>
      <c r="C31" s="190" t="s">
        <v>449</v>
      </c>
      <c r="D31" s="184" t="s">
        <v>23</v>
      </c>
      <c r="E31" s="185">
        <v>32.8</v>
      </c>
      <c r="F31" s="186"/>
      <c r="G31" s="186"/>
      <c r="H31" s="186"/>
      <c r="I31" s="186"/>
      <c r="J31" s="191"/>
      <c r="K31" s="192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s="78" customFormat="1" ht="23.25">
      <c r="A32" s="69" t="s">
        <v>97</v>
      </c>
      <c r="B32" s="182"/>
      <c r="C32" s="190" t="s">
        <v>450</v>
      </c>
      <c r="D32" s="184" t="s">
        <v>23</v>
      </c>
      <c r="E32" s="185">
        <v>41.6</v>
      </c>
      <c r="F32" s="186"/>
      <c r="G32" s="186"/>
      <c r="H32" s="186"/>
      <c r="I32" s="186"/>
      <c r="J32" s="191"/>
      <c r="K32" s="192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s="78" customFormat="1" ht="13.5">
      <c r="A33" s="69" t="s">
        <v>98</v>
      </c>
      <c r="B33" s="37" t="s">
        <v>437</v>
      </c>
      <c r="C33" s="183" t="s">
        <v>451</v>
      </c>
      <c r="D33" s="184" t="s">
        <v>346</v>
      </c>
      <c r="E33" s="185">
        <v>2.1</v>
      </c>
      <c r="F33" s="186"/>
      <c r="G33" s="186"/>
      <c r="H33" s="186"/>
      <c r="I33" s="186"/>
      <c r="J33" s="191"/>
      <c r="K33" s="192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s="78" customFormat="1" ht="13.5">
      <c r="A34" s="69" t="s">
        <v>99</v>
      </c>
      <c r="B34" s="182" t="s">
        <v>452</v>
      </c>
      <c r="C34" s="183" t="s">
        <v>453</v>
      </c>
      <c r="D34" s="184" t="s">
        <v>346</v>
      </c>
      <c r="E34" s="185">
        <v>2.1</v>
      </c>
      <c r="F34" s="186"/>
      <c r="G34" s="186"/>
      <c r="H34" s="186"/>
      <c r="I34" s="186"/>
      <c r="J34" s="191"/>
      <c r="K34" s="192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s="78" customFormat="1" ht="13.5">
      <c r="A35" s="69" t="s">
        <v>100</v>
      </c>
      <c r="B35" s="37" t="s">
        <v>437</v>
      </c>
      <c r="C35" s="183" t="s">
        <v>454</v>
      </c>
      <c r="D35" s="184" t="s">
        <v>346</v>
      </c>
      <c r="E35" s="185">
        <v>2.2</v>
      </c>
      <c r="F35" s="186"/>
      <c r="G35" s="186"/>
      <c r="H35" s="186"/>
      <c r="I35" s="186"/>
      <c r="J35" s="191"/>
      <c r="K35" s="192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s="78" customFormat="1" ht="13.5">
      <c r="A36" s="69" t="s">
        <v>101</v>
      </c>
      <c r="B36" s="182" t="s">
        <v>452</v>
      </c>
      <c r="C36" s="183" t="s">
        <v>455</v>
      </c>
      <c r="D36" s="184" t="s">
        <v>346</v>
      </c>
      <c r="E36" s="185">
        <v>2.2</v>
      </c>
      <c r="F36" s="186"/>
      <c r="G36" s="186"/>
      <c r="H36" s="186"/>
      <c r="I36" s="186"/>
      <c r="J36" s="191"/>
      <c r="K36" s="192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s="78" customFormat="1" ht="23.25">
      <c r="A37" s="69" t="s">
        <v>102</v>
      </c>
      <c r="B37" s="179" t="s">
        <v>445</v>
      </c>
      <c r="C37" s="183" t="s">
        <v>456</v>
      </c>
      <c r="D37" s="184" t="s">
        <v>447</v>
      </c>
      <c r="E37" s="185">
        <v>128.2</v>
      </c>
      <c r="F37" s="186"/>
      <c r="G37" s="186"/>
      <c r="H37" s="186"/>
      <c r="I37" s="186"/>
      <c r="J37" s="191"/>
      <c r="K37" s="192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s="78" customFormat="1" ht="13.5">
      <c r="A38" s="69" t="s">
        <v>103</v>
      </c>
      <c r="B38" s="37" t="s">
        <v>457</v>
      </c>
      <c r="C38" s="183" t="s">
        <v>458</v>
      </c>
      <c r="D38" s="184" t="s">
        <v>447</v>
      </c>
      <c r="E38" s="185">
        <v>49.5</v>
      </c>
      <c r="F38" s="186"/>
      <c r="G38" s="186"/>
      <c r="H38" s="186"/>
      <c r="I38" s="186"/>
      <c r="J38" s="191"/>
      <c r="K38" s="192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2" s="78" customFormat="1" ht="23.25">
      <c r="A39" s="69" t="s">
        <v>104</v>
      </c>
      <c r="B39" s="179" t="s">
        <v>445</v>
      </c>
      <c r="C39" s="183" t="s">
        <v>459</v>
      </c>
      <c r="D39" s="184" t="s">
        <v>447</v>
      </c>
      <c r="E39" s="185">
        <v>100.2</v>
      </c>
      <c r="F39" s="186"/>
      <c r="G39" s="186"/>
      <c r="H39" s="186"/>
      <c r="I39" s="186"/>
      <c r="J39" s="191"/>
      <c r="K39" s="192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2" s="78" customFormat="1" ht="13.5">
      <c r="A40" s="69" t="s">
        <v>105</v>
      </c>
      <c r="B40" s="37" t="s">
        <v>457</v>
      </c>
      <c r="C40" s="183" t="s">
        <v>461</v>
      </c>
      <c r="D40" s="184" t="s">
        <v>447</v>
      </c>
      <c r="E40" s="185">
        <v>42.8</v>
      </c>
      <c r="F40" s="186"/>
      <c r="G40" s="186"/>
      <c r="H40" s="186"/>
      <c r="I40" s="186"/>
      <c r="J40" s="191"/>
      <c r="K40" s="192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s="73" customFormat="1" ht="13.5">
      <c r="A41" s="79" t="s">
        <v>106</v>
      </c>
      <c r="B41" s="79"/>
      <c r="C41" s="79"/>
      <c r="D41" s="79"/>
      <c r="E41" s="79"/>
      <c r="F41" s="79"/>
      <c r="G41" s="79"/>
      <c r="H41" s="79"/>
      <c r="I41" s="79"/>
      <c r="J41" s="53"/>
      <c r="K41" s="53"/>
      <c r="L41" s="80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s="78" customFormat="1" ht="13.5">
      <c r="A42" s="74" t="s">
        <v>107</v>
      </c>
      <c r="B42" s="81" t="s">
        <v>108</v>
      </c>
      <c r="C42" s="81"/>
      <c r="D42" s="81"/>
      <c r="E42" s="81"/>
      <c r="F42" s="81"/>
      <c r="G42" s="81"/>
      <c r="H42" s="81"/>
      <c r="I42" s="81"/>
      <c r="J42" s="81"/>
      <c r="K42" s="81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0" s="42" customFormat="1" ht="13.5">
      <c r="A43" s="37" t="s">
        <v>109</v>
      </c>
      <c r="B43" s="38"/>
      <c r="C43" s="44"/>
      <c r="D43" s="40"/>
      <c r="E43" s="41"/>
      <c r="F43" s="41"/>
      <c r="G43" s="41"/>
      <c r="H43" s="41"/>
      <c r="I43" s="41"/>
      <c r="J43" s="41"/>
      <c r="K43" s="41"/>
      <c r="L43" s="36"/>
      <c r="M43" s="36"/>
      <c r="N43" s="36"/>
      <c r="O43" s="36"/>
      <c r="P43" s="36"/>
      <c r="Q43" s="36"/>
      <c r="R43" s="36"/>
      <c r="S43" s="36"/>
      <c r="T43" s="36"/>
    </row>
    <row r="44" spans="1:22" s="73" customFormat="1" ht="13.5">
      <c r="A44" s="79" t="s">
        <v>119</v>
      </c>
      <c r="B44" s="79"/>
      <c r="C44" s="79"/>
      <c r="D44" s="79"/>
      <c r="E44" s="79"/>
      <c r="F44" s="79"/>
      <c r="G44" s="79"/>
      <c r="H44" s="79"/>
      <c r="I44" s="79"/>
      <c r="J44" s="53"/>
      <c r="K44" s="53"/>
      <c r="L44" s="80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0" s="42" customFormat="1" ht="15.75" customHeight="1">
      <c r="A45" s="34" t="s">
        <v>120</v>
      </c>
      <c r="B45" s="35" t="s">
        <v>121</v>
      </c>
      <c r="C45" s="35"/>
      <c r="D45" s="35"/>
      <c r="E45" s="35"/>
      <c r="F45" s="35"/>
      <c r="G45" s="35"/>
      <c r="H45" s="35"/>
      <c r="I45" s="35"/>
      <c r="J45" s="35"/>
      <c r="K45" s="35"/>
      <c r="L45" s="68"/>
      <c r="M45" s="36"/>
      <c r="N45" s="36"/>
      <c r="O45" s="36"/>
      <c r="P45" s="36"/>
      <c r="Q45" s="36"/>
      <c r="R45" s="36"/>
      <c r="S45" s="36"/>
      <c r="T45" s="36"/>
    </row>
    <row r="46" spans="1:20" s="42" customFormat="1" ht="13.5">
      <c r="A46" s="82" t="s">
        <v>122</v>
      </c>
      <c r="B46" s="120"/>
      <c r="C46" s="44"/>
      <c r="D46" s="40"/>
      <c r="E46" s="41"/>
      <c r="F46" s="83"/>
      <c r="G46" s="83"/>
      <c r="H46" s="83"/>
      <c r="I46" s="83"/>
      <c r="J46" s="83"/>
      <c r="K46" s="41"/>
      <c r="L46" s="36"/>
      <c r="M46" s="36"/>
      <c r="N46" s="36"/>
      <c r="O46" s="36"/>
      <c r="P46" s="36"/>
      <c r="Q46" s="36"/>
      <c r="R46" s="36"/>
      <c r="S46" s="36"/>
      <c r="T46" s="36"/>
    </row>
    <row r="47" spans="1:20" s="42" customFormat="1" ht="15.75" customHeight="1">
      <c r="A47" s="67" t="s">
        <v>132</v>
      </c>
      <c r="B47" s="67"/>
      <c r="C47" s="67"/>
      <c r="D47" s="67"/>
      <c r="E47" s="67"/>
      <c r="F47" s="67"/>
      <c r="G47" s="67"/>
      <c r="H47" s="67"/>
      <c r="I47" s="67"/>
      <c r="J47" s="267"/>
      <c r="K47" s="267"/>
      <c r="L47" s="68"/>
      <c r="M47" s="36"/>
      <c r="N47" s="36"/>
      <c r="O47" s="36"/>
      <c r="P47" s="36"/>
      <c r="Q47" s="36"/>
      <c r="R47" s="36"/>
      <c r="S47" s="36"/>
      <c r="T47" s="36"/>
    </row>
    <row r="48" spans="1:22" s="73" customFormat="1" ht="13.5">
      <c r="A48" s="69" t="s">
        <v>133</v>
      </c>
      <c r="B48" s="85" t="s">
        <v>134</v>
      </c>
      <c r="C48" s="85"/>
      <c r="D48" s="85"/>
      <c r="E48" s="85"/>
      <c r="F48" s="85"/>
      <c r="G48" s="85"/>
      <c r="H48" s="85"/>
      <c r="I48" s="85"/>
      <c r="J48" s="85"/>
      <c r="K48" s="85"/>
      <c r="L48" s="71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s="78" customFormat="1" ht="13.5">
      <c r="A49" s="74" t="s">
        <v>135</v>
      </c>
      <c r="B49" s="120">
        <v>72081</v>
      </c>
      <c r="C49" s="47" t="s">
        <v>904</v>
      </c>
      <c r="D49" s="75" t="s">
        <v>23</v>
      </c>
      <c r="E49" s="41">
        <v>82.6</v>
      </c>
      <c r="F49" s="41"/>
      <c r="G49" s="41"/>
      <c r="H49" s="41"/>
      <c r="I49" s="41"/>
      <c r="J49" s="77"/>
      <c r="K49" s="41"/>
      <c r="L49" s="71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s="78" customFormat="1" ht="23.25">
      <c r="A50" s="74" t="s">
        <v>136</v>
      </c>
      <c r="B50" s="120" t="s">
        <v>519</v>
      </c>
      <c r="C50" s="47" t="s">
        <v>520</v>
      </c>
      <c r="D50" s="75" t="s">
        <v>23</v>
      </c>
      <c r="E50" s="41">
        <f>E49*1.005</f>
        <v>83.01299999999999</v>
      </c>
      <c r="F50" s="41"/>
      <c r="G50" s="41"/>
      <c r="H50" s="41"/>
      <c r="I50" s="41"/>
      <c r="J50" s="77"/>
      <c r="K50" s="41"/>
      <c r="L50" s="71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s="78" customFormat="1" ht="13.5">
      <c r="A51" s="74" t="s">
        <v>137</v>
      </c>
      <c r="B51" s="120">
        <v>72104</v>
      </c>
      <c r="C51" s="46" t="s">
        <v>523</v>
      </c>
      <c r="D51" s="75" t="s">
        <v>189</v>
      </c>
      <c r="E51" s="295">
        <v>11.8</v>
      </c>
      <c r="F51" s="41"/>
      <c r="G51" s="41"/>
      <c r="H51" s="41"/>
      <c r="I51" s="41"/>
      <c r="J51" s="77"/>
      <c r="K51" s="41"/>
      <c r="L51" s="71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s="73" customFormat="1" ht="14.25">
      <c r="A52" s="79" t="s">
        <v>145</v>
      </c>
      <c r="B52" s="79"/>
      <c r="C52" s="79"/>
      <c r="D52" s="79"/>
      <c r="E52" s="79"/>
      <c r="F52" s="79"/>
      <c r="G52" s="79"/>
      <c r="H52" s="79"/>
      <c r="I52" s="79"/>
      <c r="J52" s="267"/>
      <c r="K52" s="267"/>
      <c r="L52" s="80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0" s="42" customFormat="1" ht="13.5">
      <c r="A53" s="37" t="s">
        <v>146</v>
      </c>
      <c r="B53" s="55" t="s">
        <v>147</v>
      </c>
      <c r="C53" s="55"/>
      <c r="D53" s="55"/>
      <c r="E53" s="55"/>
      <c r="F53" s="55"/>
      <c r="G53" s="55"/>
      <c r="H53" s="55"/>
      <c r="I53" s="55"/>
      <c r="J53" s="55"/>
      <c r="K53" s="55"/>
      <c r="L53" s="68"/>
      <c r="M53" s="36"/>
      <c r="N53" s="36"/>
      <c r="O53" s="36"/>
      <c r="P53" s="36"/>
      <c r="Q53" s="36"/>
      <c r="R53" s="36"/>
      <c r="S53" s="36"/>
      <c r="T53" s="36"/>
    </row>
    <row r="54" spans="1:20" s="91" customFormat="1" ht="14.25">
      <c r="A54" s="86" t="s">
        <v>148</v>
      </c>
      <c r="B54" s="214" t="s">
        <v>546</v>
      </c>
      <c r="C54" s="271" t="s">
        <v>525</v>
      </c>
      <c r="D54" s="272" t="s">
        <v>189</v>
      </c>
      <c r="E54" s="88">
        <f>(15*4)</f>
        <v>60</v>
      </c>
      <c r="F54" s="271"/>
      <c r="G54" s="83"/>
      <c r="H54" s="271"/>
      <c r="I54" s="83"/>
      <c r="J54" s="83"/>
      <c r="K54" s="83"/>
      <c r="L54" s="90"/>
      <c r="M54" s="90"/>
      <c r="N54" s="90"/>
      <c r="O54" s="90"/>
      <c r="P54" s="90"/>
      <c r="Q54" s="90"/>
      <c r="R54" s="90"/>
      <c r="S54" s="90"/>
      <c r="T54" s="90"/>
    </row>
    <row r="55" spans="1:20" s="91" customFormat="1" ht="14.25">
      <c r="A55" s="86" t="s">
        <v>149</v>
      </c>
      <c r="B55" s="203"/>
      <c r="C55" s="230" t="s">
        <v>530</v>
      </c>
      <c r="D55" s="177" t="s">
        <v>391</v>
      </c>
      <c r="E55" s="41">
        <v>3</v>
      </c>
      <c r="F55" s="41"/>
      <c r="G55" s="41"/>
      <c r="H55" s="41"/>
      <c r="I55" s="41"/>
      <c r="J55" s="41"/>
      <c r="K55" s="83"/>
      <c r="L55" s="90"/>
      <c r="M55" s="90"/>
      <c r="N55" s="90"/>
      <c r="O55" s="90"/>
      <c r="P55" s="90"/>
      <c r="Q55" s="90"/>
      <c r="R55" s="90"/>
      <c r="S55" s="90"/>
      <c r="T55" s="90"/>
    </row>
    <row r="56" spans="1:20" s="91" customFormat="1" ht="14.25">
      <c r="A56" s="86" t="s">
        <v>151</v>
      </c>
      <c r="B56" s="203"/>
      <c r="C56" s="230" t="s">
        <v>532</v>
      </c>
      <c r="D56" s="177" t="s">
        <v>189</v>
      </c>
      <c r="E56" s="41">
        <v>15</v>
      </c>
      <c r="F56" s="41"/>
      <c r="G56" s="41"/>
      <c r="H56" s="41"/>
      <c r="I56" s="41"/>
      <c r="J56" s="41"/>
      <c r="K56" s="83"/>
      <c r="L56" s="90"/>
      <c r="M56" s="90"/>
      <c r="N56" s="90"/>
      <c r="O56" s="90"/>
      <c r="P56" s="90"/>
      <c r="Q56" s="90"/>
      <c r="R56" s="90"/>
      <c r="S56" s="90"/>
      <c r="T56" s="90"/>
    </row>
    <row r="57" spans="1:20" s="91" customFormat="1" ht="14.25">
      <c r="A57" s="86" t="s">
        <v>153</v>
      </c>
      <c r="B57" s="203"/>
      <c r="C57" s="211" t="s">
        <v>544</v>
      </c>
      <c r="D57" s="177" t="s">
        <v>391</v>
      </c>
      <c r="E57" s="41">
        <v>2</v>
      </c>
      <c r="F57" s="211"/>
      <c r="G57" s="41"/>
      <c r="H57" s="211"/>
      <c r="I57" s="41"/>
      <c r="J57" s="41"/>
      <c r="K57" s="83"/>
      <c r="L57" s="90"/>
      <c r="M57" s="90"/>
      <c r="N57" s="90"/>
      <c r="O57" s="90"/>
      <c r="P57" s="90"/>
      <c r="Q57" s="90"/>
      <c r="R57" s="90"/>
      <c r="S57" s="90"/>
      <c r="T57" s="90"/>
    </row>
    <row r="58" spans="1:20" s="91" customFormat="1" ht="14.25">
      <c r="A58" s="86" t="s">
        <v>155</v>
      </c>
      <c r="B58" s="203"/>
      <c r="C58" s="44" t="s">
        <v>538</v>
      </c>
      <c r="D58" s="40" t="s">
        <v>391</v>
      </c>
      <c r="E58" s="41">
        <v>1</v>
      </c>
      <c r="F58" s="41"/>
      <c r="G58" s="41"/>
      <c r="H58" s="41"/>
      <c r="I58" s="41"/>
      <c r="J58" s="41"/>
      <c r="K58" s="83"/>
      <c r="L58" s="90"/>
      <c r="M58" s="90"/>
      <c r="N58" s="90"/>
      <c r="O58" s="90"/>
      <c r="P58" s="90"/>
      <c r="Q58" s="90"/>
      <c r="R58" s="90"/>
      <c r="S58" s="90"/>
      <c r="T58" s="90"/>
    </row>
    <row r="59" spans="1:20" ht="14.25">
      <c r="A59" s="67" t="s">
        <v>158</v>
      </c>
      <c r="B59" s="67"/>
      <c r="C59" s="67"/>
      <c r="D59" s="67"/>
      <c r="E59" s="67"/>
      <c r="F59" s="67"/>
      <c r="G59" s="67"/>
      <c r="H59" s="67"/>
      <c r="I59" s="67"/>
      <c r="J59" s="267"/>
      <c r="K59" s="260"/>
      <c r="L59" s="36"/>
      <c r="M59" s="36"/>
      <c r="N59" s="36"/>
      <c r="O59" s="36"/>
      <c r="P59" s="36"/>
      <c r="Q59" s="36"/>
      <c r="R59" s="36"/>
      <c r="S59" s="36"/>
      <c r="T59" s="36"/>
    </row>
    <row r="60" spans="1:20" s="42" customFormat="1" ht="13.5">
      <c r="A60" s="34" t="s">
        <v>159</v>
      </c>
      <c r="B60" s="95" t="s">
        <v>160</v>
      </c>
      <c r="C60" s="95"/>
      <c r="D60" s="95"/>
      <c r="E60" s="95"/>
      <c r="F60" s="95"/>
      <c r="G60" s="95"/>
      <c r="H60" s="95"/>
      <c r="I60" s="95"/>
      <c r="J60" s="95"/>
      <c r="K60" s="95"/>
      <c r="L60" s="36"/>
      <c r="M60" s="36"/>
      <c r="N60" s="36"/>
      <c r="O60" s="36"/>
      <c r="P60" s="36"/>
      <c r="Q60" s="36"/>
      <c r="R60" s="36"/>
      <c r="S60" s="36"/>
      <c r="T60" s="36"/>
    </row>
    <row r="61" spans="1:20" s="42" customFormat="1" ht="13.5">
      <c r="A61" s="37" t="s">
        <v>161</v>
      </c>
      <c r="B61" s="37"/>
      <c r="C61" s="230"/>
      <c r="D61" s="177"/>
      <c r="E61" s="347"/>
      <c r="F61" s="41"/>
      <c r="G61" s="41"/>
      <c r="H61" s="41"/>
      <c r="I61" s="41"/>
      <c r="J61" s="41"/>
      <c r="K61" s="83"/>
      <c r="L61" s="36"/>
      <c r="M61" s="36"/>
      <c r="N61" s="36"/>
      <c r="O61" s="36"/>
      <c r="P61" s="36"/>
      <c r="Q61" s="36"/>
      <c r="R61" s="36"/>
      <c r="S61" s="36"/>
      <c r="T61" s="36"/>
    </row>
    <row r="62" spans="1:20" s="42" customFormat="1" ht="13.5">
      <c r="A62" s="100" t="s">
        <v>171</v>
      </c>
      <c r="B62" s="100"/>
      <c r="C62" s="100"/>
      <c r="D62" s="100"/>
      <c r="E62" s="100"/>
      <c r="F62" s="100"/>
      <c r="G62" s="100"/>
      <c r="H62" s="100"/>
      <c r="I62" s="100"/>
      <c r="J62" s="320"/>
      <c r="K62" s="320"/>
      <c r="L62" s="36"/>
      <c r="M62" s="36"/>
      <c r="N62" s="36"/>
      <c r="O62" s="36"/>
      <c r="P62" s="36"/>
      <c r="Q62" s="36"/>
      <c r="R62" s="36"/>
      <c r="S62" s="36"/>
      <c r="T62" s="36"/>
    </row>
    <row r="63" spans="1:20" s="42" customFormat="1" ht="13.5">
      <c r="A63" s="34" t="s">
        <v>172</v>
      </c>
      <c r="B63" s="55" t="s">
        <v>173</v>
      </c>
      <c r="C63" s="55"/>
      <c r="D63" s="55"/>
      <c r="E63" s="55"/>
      <c r="F63" s="55"/>
      <c r="G63" s="55"/>
      <c r="H63" s="55"/>
      <c r="I63" s="55"/>
      <c r="J63" s="55"/>
      <c r="K63" s="55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42" customFormat="1" ht="13.5">
      <c r="A64" s="37" t="s">
        <v>174</v>
      </c>
      <c r="B64" s="37"/>
      <c r="C64" s="348"/>
      <c r="D64" s="177"/>
      <c r="E64" s="41"/>
      <c r="F64" s="41"/>
      <c r="G64" s="41"/>
      <c r="H64" s="41"/>
      <c r="I64" s="41"/>
      <c r="J64" s="41"/>
      <c r="K64" s="83"/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14.25">
      <c r="A65" s="67" t="s">
        <v>272</v>
      </c>
      <c r="B65" s="67"/>
      <c r="C65" s="67"/>
      <c r="D65" s="67"/>
      <c r="E65" s="67"/>
      <c r="F65" s="67"/>
      <c r="G65" s="67"/>
      <c r="H65" s="67"/>
      <c r="I65" s="67"/>
      <c r="J65" s="267"/>
      <c r="K65" s="260"/>
      <c r="L65" s="36"/>
      <c r="M65" s="36"/>
      <c r="N65" s="36"/>
      <c r="O65" s="36"/>
      <c r="P65" s="36"/>
      <c r="Q65" s="36"/>
      <c r="R65" s="36"/>
      <c r="S65" s="36"/>
      <c r="T65" s="36"/>
    </row>
    <row r="66" spans="1:22" s="73" customFormat="1" ht="13.5">
      <c r="A66" s="69" t="s">
        <v>273</v>
      </c>
      <c r="B66" s="70" t="s">
        <v>274</v>
      </c>
      <c r="C66" s="70"/>
      <c r="D66" s="70"/>
      <c r="E66" s="70"/>
      <c r="F66" s="70"/>
      <c r="G66" s="70"/>
      <c r="H66" s="70"/>
      <c r="I66" s="70"/>
      <c r="J66" s="70"/>
      <c r="K66" s="70"/>
      <c r="L66" s="71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1:22" s="194" customFormat="1" ht="14.25">
      <c r="A67" s="74" t="s">
        <v>275</v>
      </c>
      <c r="B67" s="120"/>
      <c r="C67" s="76"/>
      <c r="D67" s="75"/>
      <c r="E67" s="41"/>
      <c r="F67" s="76"/>
      <c r="G67" s="41"/>
      <c r="H67" s="76"/>
      <c r="I67" s="41"/>
      <c r="J67" s="41"/>
      <c r="K67" s="41"/>
      <c r="L67" s="71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1:22" s="73" customFormat="1" ht="14.25">
      <c r="A68" s="79" t="s">
        <v>285</v>
      </c>
      <c r="B68" s="79"/>
      <c r="C68" s="79"/>
      <c r="D68" s="79"/>
      <c r="E68" s="79"/>
      <c r="F68" s="79"/>
      <c r="G68" s="79"/>
      <c r="H68" s="79"/>
      <c r="I68" s="79"/>
      <c r="J68" s="267"/>
      <c r="K68" s="267"/>
      <c r="L68" s="80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0" ht="13.5">
      <c r="A69" s="34" t="s">
        <v>286</v>
      </c>
      <c r="B69" s="35" t="s">
        <v>287</v>
      </c>
      <c r="C69" s="35"/>
      <c r="D69" s="35"/>
      <c r="E69" s="35"/>
      <c r="F69" s="35"/>
      <c r="G69" s="35"/>
      <c r="H69" s="35"/>
      <c r="I69" s="35"/>
      <c r="J69" s="35"/>
      <c r="K69" s="35"/>
      <c r="L69" s="36"/>
      <c r="M69" s="36"/>
      <c r="N69" s="36"/>
      <c r="O69" s="36"/>
      <c r="P69" s="36"/>
      <c r="Q69" s="36"/>
      <c r="R69" s="36"/>
      <c r="S69" s="36"/>
      <c r="T69" s="36"/>
    </row>
    <row r="70" spans="1:20" s="42" customFormat="1" ht="13.5">
      <c r="A70" s="118" t="s">
        <v>288</v>
      </c>
      <c r="B70" s="118"/>
      <c r="C70" s="322" t="s">
        <v>648</v>
      </c>
      <c r="D70" s="323" t="s">
        <v>391</v>
      </c>
      <c r="E70" s="41">
        <v>1</v>
      </c>
      <c r="F70" s="322"/>
      <c r="G70" s="322"/>
      <c r="H70" s="322"/>
      <c r="I70" s="322"/>
      <c r="J70" s="322"/>
      <c r="K70" s="141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42" customFormat="1" ht="13.5">
      <c r="A71" s="118" t="s">
        <v>289</v>
      </c>
      <c r="B71" s="118"/>
      <c r="C71" s="322" t="s">
        <v>655</v>
      </c>
      <c r="D71" s="323" t="s">
        <v>391</v>
      </c>
      <c r="E71" s="41">
        <v>1</v>
      </c>
      <c r="F71" s="142"/>
      <c r="G71" s="322"/>
      <c r="H71" s="142"/>
      <c r="I71" s="322"/>
      <c r="J71" s="322"/>
      <c r="K71" s="141"/>
      <c r="L71" s="36"/>
      <c r="M71" s="36"/>
      <c r="N71" s="36"/>
      <c r="O71" s="36"/>
      <c r="P71" s="36"/>
      <c r="Q71" s="36"/>
      <c r="R71" s="36"/>
      <c r="S71" s="36"/>
      <c r="T71" s="36"/>
    </row>
    <row r="72" spans="1:11" ht="14.25">
      <c r="A72" s="67" t="s">
        <v>298</v>
      </c>
      <c r="B72" s="67"/>
      <c r="C72" s="67"/>
      <c r="D72" s="67"/>
      <c r="E72" s="67"/>
      <c r="F72" s="67"/>
      <c r="G72" s="67"/>
      <c r="H72" s="67"/>
      <c r="I72" s="67"/>
      <c r="J72" s="267"/>
      <c r="K72" s="260"/>
    </row>
    <row r="73" spans="1:20" ht="13.5">
      <c r="A73" s="34" t="s">
        <v>299</v>
      </c>
      <c r="B73" s="35" t="s">
        <v>300</v>
      </c>
      <c r="C73" s="35"/>
      <c r="D73" s="35"/>
      <c r="E73" s="35"/>
      <c r="F73" s="35"/>
      <c r="G73" s="35"/>
      <c r="H73" s="35"/>
      <c r="I73" s="35"/>
      <c r="J73" s="35"/>
      <c r="K73" s="35"/>
      <c r="L73" s="36"/>
      <c r="M73" s="36"/>
      <c r="N73" s="36"/>
      <c r="O73" s="36"/>
      <c r="P73" s="36"/>
      <c r="Q73" s="36"/>
      <c r="R73" s="36"/>
      <c r="S73" s="36"/>
      <c r="T73" s="36"/>
    </row>
    <row r="74" spans="1:20" s="42" customFormat="1" ht="13.5">
      <c r="A74" s="37" t="s">
        <v>301</v>
      </c>
      <c r="B74" s="120">
        <v>5974</v>
      </c>
      <c r="C74" s="44" t="s">
        <v>656</v>
      </c>
      <c r="D74" s="40" t="s">
        <v>23</v>
      </c>
      <c r="E74" s="41">
        <f>6*3.75*1</f>
        <v>22.5</v>
      </c>
      <c r="F74" s="41"/>
      <c r="G74" s="41"/>
      <c r="H74" s="41"/>
      <c r="I74" s="41"/>
      <c r="J74" s="41"/>
      <c r="K74" s="41"/>
      <c r="L74" s="36"/>
      <c r="M74" s="36"/>
      <c r="N74" s="36"/>
      <c r="O74" s="36"/>
      <c r="P74" s="36"/>
      <c r="Q74" s="36"/>
      <c r="R74" s="36"/>
      <c r="S74" s="36"/>
      <c r="T74" s="36"/>
    </row>
    <row r="75" spans="1:20" s="42" customFormat="1" ht="23.25">
      <c r="A75" s="37" t="s">
        <v>303</v>
      </c>
      <c r="B75" s="120">
        <v>5992</v>
      </c>
      <c r="C75" s="44" t="s">
        <v>659</v>
      </c>
      <c r="D75" s="40" t="s">
        <v>23</v>
      </c>
      <c r="E75" s="41">
        <f>E74</f>
        <v>22.5</v>
      </c>
      <c r="F75" s="41"/>
      <c r="G75" s="41"/>
      <c r="H75" s="41"/>
      <c r="I75" s="41"/>
      <c r="J75" s="41"/>
      <c r="K75" s="41"/>
      <c r="L75" s="36"/>
      <c r="M75" s="36"/>
      <c r="N75" s="36"/>
      <c r="O75" s="36"/>
      <c r="P75" s="36"/>
      <c r="Q75" s="36"/>
      <c r="R75" s="36"/>
      <c r="S75" s="36"/>
      <c r="T75" s="36"/>
    </row>
    <row r="76" spans="1:20" s="42" customFormat="1" ht="23.25">
      <c r="A76" s="37" t="s">
        <v>304</v>
      </c>
      <c r="B76" s="120" t="s">
        <v>799</v>
      </c>
      <c r="C76" s="291" t="s">
        <v>800</v>
      </c>
      <c r="D76" s="40" t="s">
        <v>23</v>
      </c>
      <c r="E76" s="41">
        <f>55.08*1.1</f>
        <v>60.588</v>
      </c>
      <c r="F76" s="41"/>
      <c r="G76" s="41"/>
      <c r="H76" s="41"/>
      <c r="I76" s="41"/>
      <c r="J76" s="41"/>
      <c r="K76" s="41"/>
      <c r="L76" s="36"/>
      <c r="M76" s="36"/>
      <c r="N76" s="36"/>
      <c r="O76" s="36"/>
      <c r="P76" s="36"/>
      <c r="Q76" s="36"/>
      <c r="R76" s="36"/>
      <c r="S76" s="36"/>
      <c r="T76" s="36"/>
    </row>
    <row r="77" spans="1:20" s="42" customFormat="1" ht="13.5">
      <c r="A77" s="37" t="s">
        <v>305</v>
      </c>
      <c r="B77" s="120">
        <v>72948</v>
      </c>
      <c r="C77" s="291" t="s">
        <v>801</v>
      </c>
      <c r="D77" s="40" t="s">
        <v>346</v>
      </c>
      <c r="E77" s="41">
        <f>(E76/1.1)*0.6</f>
        <v>33.048</v>
      </c>
      <c r="F77" s="41"/>
      <c r="G77" s="41"/>
      <c r="H77" s="41"/>
      <c r="I77" s="41"/>
      <c r="J77" s="41"/>
      <c r="K77" s="41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3.5">
      <c r="A78" s="67" t="s">
        <v>313</v>
      </c>
      <c r="B78" s="67"/>
      <c r="C78" s="67"/>
      <c r="D78" s="67"/>
      <c r="E78" s="67"/>
      <c r="F78" s="67"/>
      <c r="G78" s="67"/>
      <c r="H78" s="67"/>
      <c r="I78" s="67"/>
      <c r="J78" s="53"/>
      <c r="K78" s="53"/>
      <c r="L78" s="68"/>
      <c r="M78" s="36"/>
      <c r="N78" s="36"/>
      <c r="O78" s="36"/>
      <c r="P78" s="36"/>
      <c r="Q78" s="36"/>
      <c r="R78" s="36"/>
      <c r="S78" s="36"/>
      <c r="T78" s="36"/>
    </row>
    <row r="79" spans="1:21" s="73" customFormat="1" ht="13.5">
      <c r="A79" s="69" t="s">
        <v>314</v>
      </c>
      <c r="B79" s="85" t="s">
        <v>315</v>
      </c>
      <c r="C79" s="85"/>
      <c r="D79" s="85"/>
      <c r="E79" s="85"/>
      <c r="F79" s="85"/>
      <c r="G79" s="85"/>
      <c r="H79" s="85"/>
      <c r="I79" s="85"/>
      <c r="J79" s="85"/>
      <c r="K79" s="85"/>
      <c r="L79" s="71"/>
      <c r="M79" s="72"/>
      <c r="N79" s="72"/>
      <c r="O79" s="72"/>
      <c r="P79" s="72"/>
      <c r="Q79" s="72"/>
      <c r="R79" s="72"/>
      <c r="S79" s="72"/>
      <c r="T79" s="72"/>
      <c r="U79" s="72"/>
    </row>
    <row r="80" spans="1:21" s="78" customFormat="1" ht="13.5">
      <c r="A80" s="74" t="s">
        <v>316</v>
      </c>
      <c r="B80" s="253"/>
      <c r="C80" s="76"/>
      <c r="D80" s="75"/>
      <c r="E80" s="41"/>
      <c r="F80" s="41"/>
      <c r="G80" s="41"/>
      <c r="H80" s="41"/>
      <c r="I80" s="41"/>
      <c r="J80" s="41"/>
      <c r="K80" s="41"/>
      <c r="L80" s="71"/>
      <c r="M80" s="72"/>
      <c r="N80" s="72"/>
      <c r="O80" s="72"/>
      <c r="P80" s="72"/>
      <c r="Q80" s="72"/>
      <c r="R80" s="72"/>
      <c r="S80" s="72"/>
      <c r="T80" s="72"/>
      <c r="U80" s="72"/>
    </row>
    <row r="81" spans="1:21" s="73" customFormat="1" ht="13.5" customHeight="1">
      <c r="A81" s="122" t="s">
        <v>326</v>
      </c>
      <c r="B81" s="122"/>
      <c r="C81" s="122"/>
      <c r="D81" s="122"/>
      <c r="E81" s="122"/>
      <c r="F81" s="122"/>
      <c r="G81" s="122"/>
      <c r="H81" s="122"/>
      <c r="I81" s="122"/>
      <c r="J81" s="53"/>
      <c r="K81" s="53"/>
      <c r="L81" s="80"/>
      <c r="M81" s="72"/>
      <c r="N81" s="72"/>
      <c r="O81" s="72"/>
      <c r="P81" s="72"/>
      <c r="Q81" s="72"/>
      <c r="R81" s="72"/>
      <c r="S81" s="72"/>
      <c r="T81" s="72"/>
      <c r="U81" s="72"/>
    </row>
    <row r="82" spans="1:20" s="42" customFormat="1" ht="13.5" customHeight="1">
      <c r="A82" s="34" t="s">
        <v>327</v>
      </c>
      <c r="B82" s="123" t="s">
        <v>328</v>
      </c>
      <c r="C82" s="123"/>
      <c r="D82" s="123"/>
      <c r="E82" s="123"/>
      <c r="F82" s="123"/>
      <c r="G82" s="123"/>
      <c r="H82" s="123"/>
      <c r="I82" s="123"/>
      <c r="J82" s="123"/>
      <c r="K82" s="123"/>
      <c r="L82" s="68"/>
      <c r="M82" s="36"/>
      <c r="N82" s="36"/>
      <c r="O82" s="36"/>
      <c r="P82" s="36"/>
      <c r="Q82" s="36"/>
      <c r="R82" s="36"/>
      <c r="S82" s="36"/>
      <c r="T82" s="36"/>
    </row>
    <row r="83" spans="1:20" s="42" customFormat="1" ht="13.5">
      <c r="A83" s="37" t="s">
        <v>329</v>
      </c>
      <c r="B83" s="38" t="s">
        <v>692</v>
      </c>
      <c r="C83" s="46" t="s">
        <v>693</v>
      </c>
      <c r="D83" s="40" t="s">
        <v>23</v>
      </c>
      <c r="E83" s="41">
        <f>E75</f>
        <v>22.5</v>
      </c>
      <c r="F83" s="41"/>
      <c r="G83" s="41"/>
      <c r="H83" s="41"/>
      <c r="I83" s="41"/>
      <c r="J83" s="41"/>
      <c r="K83" s="41"/>
      <c r="L83" s="36"/>
      <c r="M83" s="36"/>
      <c r="N83" s="36"/>
      <c r="O83" s="36"/>
      <c r="P83" s="36"/>
      <c r="Q83" s="36"/>
      <c r="R83" s="36"/>
      <c r="S83" s="36"/>
      <c r="T83" s="36"/>
    </row>
    <row r="84" spans="1:20" s="42" customFormat="1" ht="13.5">
      <c r="A84" s="37" t="s">
        <v>330</v>
      </c>
      <c r="B84" s="120">
        <v>6082</v>
      </c>
      <c r="C84" s="46" t="s">
        <v>698</v>
      </c>
      <c r="D84" s="40" t="s">
        <v>23</v>
      </c>
      <c r="E84" s="41">
        <f>E49</f>
        <v>82.6</v>
      </c>
      <c r="F84" s="41"/>
      <c r="G84" s="41"/>
      <c r="H84" s="41"/>
      <c r="I84" s="41"/>
      <c r="J84" s="41"/>
      <c r="K84" s="41"/>
      <c r="L84" s="36"/>
      <c r="M84" s="36"/>
      <c r="N84" s="36"/>
      <c r="O84" s="36"/>
      <c r="P84" s="36"/>
      <c r="Q84" s="36"/>
      <c r="R84" s="36"/>
      <c r="S84" s="36"/>
      <c r="T84" s="36"/>
    </row>
    <row r="85" spans="1:20" s="42" customFormat="1" ht="13.5">
      <c r="A85" s="37" t="s">
        <v>331</v>
      </c>
      <c r="B85" s="38" t="s">
        <v>694</v>
      </c>
      <c r="C85" s="46" t="s">
        <v>695</v>
      </c>
      <c r="D85" s="40" t="s">
        <v>23</v>
      </c>
      <c r="E85" s="41">
        <f>E83</f>
        <v>22.5</v>
      </c>
      <c r="F85" s="41"/>
      <c r="G85" s="41"/>
      <c r="H85" s="41"/>
      <c r="I85" s="41"/>
      <c r="J85" s="41"/>
      <c r="K85" s="41"/>
      <c r="L85" s="36"/>
      <c r="M85" s="36"/>
      <c r="N85" s="36"/>
      <c r="O85" s="36"/>
      <c r="P85" s="36"/>
      <c r="Q85" s="36"/>
      <c r="R85" s="36"/>
      <c r="S85" s="36"/>
      <c r="T85" s="36"/>
    </row>
    <row r="86" spans="1:20" s="42" customFormat="1" ht="14.25" customHeight="1">
      <c r="A86" s="67" t="s">
        <v>339</v>
      </c>
      <c r="B86" s="67"/>
      <c r="C86" s="67"/>
      <c r="D86" s="67"/>
      <c r="E86" s="67"/>
      <c r="F86" s="67"/>
      <c r="G86" s="67"/>
      <c r="H86" s="67"/>
      <c r="I86" s="67"/>
      <c r="J86" s="267"/>
      <c r="K86" s="267"/>
      <c r="L86" s="68"/>
      <c r="M86" s="36"/>
      <c r="N86" s="36"/>
      <c r="O86" s="36"/>
      <c r="P86" s="36"/>
      <c r="Q86" s="36"/>
      <c r="R86" s="36"/>
      <c r="S86" s="36"/>
      <c r="T86" s="36"/>
    </row>
    <row r="87" spans="1:22" s="73" customFormat="1" ht="13.5" customHeight="1">
      <c r="A87" s="69" t="s">
        <v>340</v>
      </c>
      <c r="B87" s="70" t="s">
        <v>341</v>
      </c>
      <c r="C87" s="70"/>
      <c r="D87" s="70"/>
      <c r="E87" s="70"/>
      <c r="F87" s="70"/>
      <c r="G87" s="70"/>
      <c r="H87" s="70"/>
      <c r="I87" s="70"/>
      <c r="J87" s="70"/>
      <c r="K87" s="70"/>
      <c r="L87" s="71"/>
      <c r="M87" s="72"/>
      <c r="N87" s="72"/>
      <c r="O87" s="72"/>
      <c r="P87" s="72"/>
      <c r="Q87" s="72"/>
      <c r="R87" s="72"/>
      <c r="S87" s="72"/>
      <c r="T87" s="72"/>
      <c r="U87" s="72"/>
      <c r="V87" s="72"/>
    </row>
    <row r="88" spans="1:22" s="73" customFormat="1" ht="13.5">
      <c r="A88" s="69" t="s">
        <v>342</v>
      </c>
      <c r="B88" s="345" t="s">
        <v>185</v>
      </c>
      <c r="C88" s="294" t="s">
        <v>357</v>
      </c>
      <c r="D88" s="140" t="s">
        <v>189</v>
      </c>
      <c r="E88" s="41">
        <v>70</v>
      </c>
      <c r="F88" s="141">
        <f>Geral!F248</f>
        <v>0</v>
      </c>
      <c r="G88" s="41"/>
      <c r="H88" s="41">
        <f>Geral!H248</f>
        <v>0</v>
      </c>
      <c r="I88" s="41"/>
      <c r="J88" s="41"/>
      <c r="K88" s="41"/>
      <c r="L88" s="71"/>
      <c r="M88" s="72"/>
      <c r="N88" s="72"/>
      <c r="O88" s="72"/>
      <c r="P88" s="72"/>
      <c r="Q88" s="72"/>
      <c r="R88" s="72"/>
      <c r="S88" s="72"/>
      <c r="T88" s="72"/>
      <c r="U88" s="72"/>
      <c r="V88" s="72"/>
    </row>
    <row r="89" spans="1:22" s="73" customFormat="1" ht="14.25" customHeight="1">
      <c r="A89" s="79" t="s">
        <v>405</v>
      </c>
      <c r="B89" s="79"/>
      <c r="C89" s="79"/>
      <c r="D89" s="79"/>
      <c r="E89" s="79"/>
      <c r="F89" s="79"/>
      <c r="G89" s="79"/>
      <c r="H89" s="79"/>
      <c r="I89" s="79"/>
      <c r="J89" s="267"/>
      <c r="K89" s="267"/>
      <c r="L89" s="80"/>
      <c r="M89" s="72"/>
      <c r="N89" s="72"/>
      <c r="O89" s="72"/>
      <c r="P89" s="72"/>
      <c r="Q89" s="72"/>
      <c r="R89" s="72"/>
      <c r="S89" s="72"/>
      <c r="T89" s="72"/>
      <c r="U89" s="72"/>
      <c r="V89" s="72"/>
    </row>
    <row r="90" spans="1:12" ht="13.5">
      <c r="A90" s="34" t="s">
        <v>406</v>
      </c>
      <c r="B90" s="143" t="s">
        <v>407</v>
      </c>
      <c r="C90" s="143"/>
      <c r="D90" s="143"/>
      <c r="E90" s="143"/>
      <c r="F90" s="143"/>
      <c r="G90" s="143"/>
      <c r="H90" s="143"/>
      <c r="I90" s="143"/>
      <c r="J90" s="143"/>
      <c r="K90" s="143"/>
      <c r="L90" s="144"/>
    </row>
    <row r="91" spans="1:11" s="42" customFormat="1" ht="13.5">
      <c r="A91" s="37" t="s">
        <v>408</v>
      </c>
      <c r="B91" s="120">
        <v>9537</v>
      </c>
      <c r="C91" s="36" t="s">
        <v>700</v>
      </c>
      <c r="D91" s="40" t="s">
        <v>23</v>
      </c>
      <c r="E91" s="41">
        <f>E13</f>
        <v>55.08</v>
      </c>
      <c r="F91" s="41"/>
      <c r="G91" s="41"/>
      <c r="H91" s="41"/>
      <c r="I91" s="41"/>
      <c r="J91" s="41"/>
      <c r="K91" s="41"/>
    </row>
    <row r="92" spans="1:11" ht="14.25">
      <c r="A92" s="67" t="s">
        <v>424</v>
      </c>
      <c r="B92" s="67"/>
      <c r="C92" s="67"/>
      <c r="D92" s="67"/>
      <c r="E92" s="67"/>
      <c r="F92" s="67"/>
      <c r="G92" s="67"/>
      <c r="H92" s="67"/>
      <c r="I92" s="67"/>
      <c r="J92" s="267"/>
      <c r="K92" s="260"/>
    </row>
    <row r="93" spans="1:11" s="151" customFormat="1" ht="13.5">
      <c r="A93" s="148"/>
      <c r="B93" s="149"/>
      <c r="C93" s="150"/>
      <c r="D93" s="150"/>
      <c r="E93" s="150"/>
      <c r="F93" s="150"/>
      <c r="G93" s="150"/>
      <c r="H93" s="150"/>
      <c r="I93" s="150"/>
      <c r="J93" s="150"/>
      <c r="K93" s="150"/>
    </row>
    <row r="94" spans="1:11" s="154" customFormat="1" ht="15.75">
      <c r="A94" s="152" t="s">
        <v>425</v>
      </c>
      <c r="B94" s="152"/>
      <c r="C94" s="152"/>
      <c r="D94" s="152"/>
      <c r="E94" s="152"/>
      <c r="F94" s="152"/>
      <c r="G94" s="152"/>
      <c r="H94" s="152"/>
      <c r="I94" s="152"/>
      <c r="J94" s="153"/>
      <c r="K94" s="153"/>
    </row>
  </sheetData>
  <sheetProtection selectLockedCells="1" selectUnlockedCells="1"/>
  <mergeCells count="48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O9"/>
    <mergeCell ref="P9:T9"/>
    <mergeCell ref="B11:K11"/>
    <mergeCell ref="A14:I14"/>
    <mergeCell ref="B15:K15"/>
    <mergeCell ref="A19:I19"/>
    <mergeCell ref="B20:K20"/>
    <mergeCell ref="A29:I29"/>
    <mergeCell ref="B30:K30"/>
    <mergeCell ref="A41:I41"/>
    <mergeCell ref="B42:K42"/>
    <mergeCell ref="A44:I44"/>
    <mergeCell ref="B45:K45"/>
    <mergeCell ref="A47:I47"/>
    <mergeCell ref="B48:K48"/>
    <mergeCell ref="A52:I52"/>
    <mergeCell ref="B53:K53"/>
    <mergeCell ref="A59:I59"/>
    <mergeCell ref="B60:K60"/>
    <mergeCell ref="A62:I62"/>
    <mergeCell ref="B63:K63"/>
    <mergeCell ref="A65:I65"/>
    <mergeCell ref="B66:K66"/>
    <mergeCell ref="A68:I68"/>
    <mergeCell ref="B69:K69"/>
    <mergeCell ref="A72:I72"/>
    <mergeCell ref="B73:K73"/>
    <mergeCell ref="A78:I78"/>
    <mergeCell ref="B79:K79"/>
    <mergeCell ref="A81:I81"/>
    <mergeCell ref="B82:K82"/>
    <mergeCell ref="A86:I86"/>
    <mergeCell ref="B87:K87"/>
    <mergeCell ref="A89:I89"/>
    <mergeCell ref="B90:K90"/>
    <mergeCell ref="A92:I92"/>
    <mergeCell ref="C93:K93"/>
    <mergeCell ref="A94:I94"/>
  </mergeCells>
  <printOptions/>
  <pageMargins left="0.5118055555555555" right="0.5118055555555555" top="0.7875" bottom="0.7875" header="0.5118055555555555" footer="0.31527777777777777"/>
  <pageSetup fitToHeight="10" fitToWidth="1" horizontalDpi="300" verticalDpi="300" orientation="landscape" paperSize="77"/>
  <headerFooter alignWithMargins="0">
    <oddFooter>&amp;L&amp;"Calibri,Regular"&amp;11TREINAMENTO&amp;C&amp;"Calibri,Regular"&amp;11Página 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zoomScale="90" zoomScaleNormal="90" workbookViewId="0" topLeftCell="A1">
      <pane ySplit="65535" topLeftCell="A1" activePane="topLeft" state="split"/>
      <selection pane="topLeft" activeCell="A11" sqref="A11"/>
      <selection pane="bottomLeft" activeCell="A1" sqref="A1"/>
    </sheetView>
  </sheetViews>
  <sheetFormatPr defaultColWidth="9.140625" defaultRowHeight="12.75"/>
  <cols>
    <col min="1" max="1" width="6.28125" style="1" customWidth="1"/>
    <col min="2" max="2" width="12.421875" style="1" customWidth="1"/>
    <col min="3" max="3" width="70.28125" style="2" customWidth="1"/>
    <col min="4" max="4" width="10.140625" style="3" customWidth="1"/>
    <col min="5" max="5" width="11.8515625" style="4" customWidth="1"/>
    <col min="6" max="9" width="17.28125" style="2" customWidth="1"/>
    <col min="10" max="11" width="14.421875" style="2" customWidth="1"/>
    <col min="12" max="12" width="10.421875" style="2" customWidth="1"/>
    <col min="13" max="13" width="9.421875" style="2" customWidth="1"/>
    <col min="14" max="14" width="13.8515625" style="2" customWidth="1"/>
    <col min="15" max="18" width="9.421875" style="2" customWidth="1"/>
    <col min="19" max="19" width="14.140625" style="2" customWidth="1"/>
    <col min="20" max="16384" width="9.421875" style="2" customWidth="1"/>
  </cols>
  <sheetData>
    <row r="1" spans="1:11" s="6" customFormat="1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4:8" ht="14.25">
      <c r="D2" s="7"/>
      <c r="E2" s="8"/>
      <c r="F2" s="3"/>
      <c r="G2" s="3"/>
      <c r="H2" s="3"/>
    </row>
    <row r="3" spans="4:11" ht="18">
      <c r="D3" s="9" t="s">
        <v>905</v>
      </c>
      <c r="E3" s="10"/>
      <c r="F3" s="10"/>
      <c r="G3" s="10"/>
      <c r="H3" s="11"/>
      <c r="J3" s="12"/>
      <c r="K3" s="13"/>
    </row>
    <row r="4" spans="4:11" ht="14.25">
      <c r="D4" s="14" t="s">
        <v>2</v>
      </c>
      <c r="E4" s="15"/>
      <c r="F4" s="16"/>
      <c r="G4" s="16"/>
      <c r="H4" s="17"/>
      <c r="J4" s="18"/>
      <c r="K4" s="13"/>
    </row>
    <row r="5" spans="4:11" ht="14.25">
      <c r="D5" s="19" t="s">
        <v>906</v>
      </c>
      <c r="E5" s="19"/>
      <c r="F5" s="19"/>
      <c r="G5" s="19"/>
      <c r="H5" s="17"/>
      <c r="J5" s="18"/>
      <c r="K5" s="13"/>
    </row>
    <row r="6" spans="4:11" ht="14.25">
      <c r="D6" s="20" t="s">
        <v>811</v>
      </c>
      <c r="E6" s="20"/>
      <c r="F6" s="20"/>
      <c r="G6" s="20"/>
      <c r="H6" s="17"/>
      <c r="J6" s="18"/>
      <c r="K6" s="13"/>
    </row>
    <row r="7" spans="4:11" ht="14.25">
      <c r="D7" s="19" t="s">
        <v>5</v>
      </c>
      <c r="E7" s="19"/>
      <c r="F7" s="19"/>
      <c r="G7" s="19"/>
      <c r="H7" s="17"/>
      <c r="J7" s="18"/>
      <c r="K7" s="13"/>
    </row>
    <row r="8" spans="10:11" ht="14.25">
      <c r="J8" s="13"/>
      <c r="K8" s="13"/>
    </row>
    <row r="9" spans="1:20" s="6" customFormat="1" ht="15" customHeight="1">
      <c r="A9" s="21" t="s">
        <v>6</v>
      </c>
      <c r="B9" s="21" t="s">
        <v>7</v>
      </c>
      <c r="C9" s="21" t="s">
        <v>8</v>
      </c>
      <c r="D9" s="21" t="s">
        <v>9</v>
      </c>
      <c r="E9" s="22" t="s">
        <v>10</v>
      </c>
      <c r="F9" s="21" t="s">
        <v>11</v>
      </c>
      <c r="G9" s="21"/>
      <c r="H9" s="23" t="s">
        <v>12</v>
      </c>
      <c r="I9" s="23"/>
      <c r="J9" s="24" t="s">
        <v>13</v>
      </c>
      <c r="K9" s="25" t="s">
        <v>14</v>
      </c>
      <c r="L9" s="26"/>
      <c r="M9" s="26"/>
      <c r="N9" s="26"/>
      <c r="O9" s="26"/>
      <c r="P9" s="27"/>
      <c r="Q9" s="27"/>
      <c r="R9" s="27"/>
      <c r="S9" s="27"/>
      <c r="T9" s="27"/>
    </row>
    <row r="10" spans="1:20" ht="13.5">
      <c r="A10" s="21"/>
      <c r="B10" s="21"/>
      <c r="C10" s="21"/>
      <c r="D10" s="21"/>
      <c r="E10" s="22"/>
      <c r="F10" s="28" t="s">
        <v>15</v>
      </c>
      <c r="G10" s="29" t="s">
        <v>16</v>
      </c>
      <c r="H10" s="29" t="s">
        <v>15</v>
      </c>
      <c r="I10" s="29" t="s">
        <v>16</v>
      </c>
      <c r="J10" s="29" t="s">
        <v>17</v>
      </c>
      <c r="K10" s="31">
        <f>E4</f>
        <v>0</v>
      </c>
      <c r="L10" s="32"/>
      <c r="M10" s="33"/>
      <c r="N10" s="33"/>
      <c r="O10" s="33"/>
      <c r="P10" s="32"/>
      <c r="Q10" s="32"/>
      <c r="R10" s="33"/>
      <c r="S10" s="33"/>
      <c r="T10" s="32"/>
    </row>
    <row r="11" spans="1:20" ht="13.5">
      <c r="A11" s="34" t="s">
        <v>18</v>
      </c>
      <c r="B11" s="3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42" customFormat="1" ht="13.5">
      <c r="A12" s="37" t="s">
        <v>20</v>
      </c>
      <c r="B12" s="43">
        <v>73672</v>
      </c>
      <c r="C12" s="39" t="s">
        <v>25</v>
      </c>
      <c r="D12" s="40" t="s">
        <v>23</v>
      </c>
      <c r="E12" s="41">
        <v>44.88</v>
      </c>
      <c r="F12" s="41"/>
      <c r="G12" s="41"/>
      <c r="H12" s="41"/>
      <c r="I12" s="41"/>
      <c r="J12" s="41"/>
      <c r="K12" s="41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2" customFormat="1" ht="23.25">
      <c r="A13" s="37" t="s">
        <v>24</v>
      </c>
      <c r="B13" s="38" t="s">
        <v>42</v>
      </c>
      <c r="C13" s="44" t="s">
        <v>43</v>
      </c>
      <c r="D13" s="40" t="s">
        <v>23</v>
      </c>
      <c r="E13" s="41">
        <v>26</v>
      </c>
      <c r="F13" s="41"/>
      <c r="G13" s="41"/>
      <c r="H13" s="41"/>
      <c r="I13" s="41"/>
      <c r="J13" s="41"/>
      <c r="K13" s="41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3.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3"/>
      <c r="K14" s="54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3.5">
      <c r="A15" s="34" t="s">
        <v>65</v>
      </c>
      <c r="B15" s="35" t="s">
        <v>66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91" customFormat="1" ht="14.25">
      <c r="A16" s="203" t="s">
        <v>67</v>
      </c>
      <c r="B16" s="329" t="s">
        <v>68</v>
      </c>
      <c r="C16" s="316" t="s">
        <v>69</v>
      </c>
      <c r="D16" s="196" t="s">
        <v>346</v>
      </c>
      <c r="E16" s="83">
        <f>E12*0.5</f>
        <v>22.44</v>
      </c>
      <c r="F16" s="83"/>
      <c r="G16" s="83"/>
      <c r="H16" s="83"/>
      <c r="I16" s="83"/>
      <c r="J16" s="83"/>
      <c r="K16" s="83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91" customFormat="1" ht="14.25">
      <c r="A17" s="203" t="s">
        <v>430</v>
      </c>
      <c r="B17" s="57" t="s">
        <v>428</v>
      </c>
      <c r="C17" s="58" t="s">
        <v>429</v>
      </c>
      <c r="D17" s="40" t="s">
        <v>23</v>
      </c>
      <c r="E17" s="41">
        <f>E12/2</f>
        <v>22.44</v>
      </c>
      <c r="F17" s="41"/>
      <c r="G17" s="41"/>
      <c r="H17" s="41"/>
      <c r="I17" s="41"/>
      <c r="J17" s="41"/>
      <c r="K17" s="83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173" customFormat="1" ht="14.25">
      <c r="A18" s="203" t="s">
        <v>70</v>
      </c>
      <c r="B18" s="174">
        <v>6430</v>
      </c>
      <c r="C18" s="58" t="s">
        <v>359</v>
      </c>
      <c r="D18" s="40" t="s">
        <v>346</v>
      </c>
      <c r="E18" s="41">
        <v>4.44</v>
      </c>
      <c r="F18" s="41"/>
      <c r="G18" s="41"/>
      <c r="H18" s="41"/>
      <c r="I18" s="41"/>
      <c r="J18" s="41"/>
      <c r="K18" s="83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4.25">
      <c r="A19" s="67" t="s">
        <v>80</v>
      </c>
      <c r="B19" s="67"/>
      <c r="C19" s="67"/>
      <c r="D19" s="67"/>
      <c r="E19" s="67"/>
      <c r="F19" s="67"/>
      <c r="G19" s="67"/>
      <c r="H19" s="67"/>
      <c r="I19" s="67"/>
      <c r="J19" s="53"/>
      <c r="K19" s="260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3.5">
      <c r="A20" s="34" t="s">
        <v>81</v>
      </c>
      <c r="B20" s="35" t="s">
        <v>82</v>
      </c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42" customFormat="1" ht="13.5">
      <c r="A21" s="37" t="s">
        <v>83</v>
      </c>
      <c r="B21" s="37"/>
      <c r="C21" s="176" t="s">
        <v>436</v>
      </c>
      <c r="D21" s="177" t="s">
        <v>23</v>
      </c>
      <c r="E21" s="178">
        <f>(5.2+5.2+5+5)*0.75</f>
        <v>15.299999999999999</v>
      </c>
      <c r="F21" s="178"/>
      <c r="G21" s="178"/>
      <c r="H21" s="178"/>
      <c r="I21" s="178"/>
      <c r="J21" s="178"/>
      <c r="K21" s="178"/>
      <c r="L21" s="36"/>
      <c r="M21" s="36"/>
      <c r="N21" s="36"/>
      <c r="O21" s="36"/>
      <c r="P21" s="36"/>
      <c r="Q21" s="36"/>
      <c r="R21" s="36"/>
      <c r="S21" s="36"/>
      <c r="T21" s="36"/>
    </row>
    <row r="22" spans="1:20" s="42" customFormat="1" ht="13.5">
      <c r="A22" s="37" t="s">
        <v>84</v>
      </c>
      <c r="B22" s="37" t="s">
        <v>437</v>
      </c>
      <c r="C22" s="176" t="s">
        <v>438</v>
      </c>
      <c r="D22" s="177" t="s">
        <v>346</v>
      </c>
      <c r="E22" s="178">
        <v>1.2</v>
      </c>
      <c r="F22" s="178"/>
      <c r="G22" s="178"/>
      <c r="H22" s="178"/>
      <c r="I22" s="178"/>
      <c r="J22" s="178"/>
      <c r="K22" s="178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42" customFormat="1" ht="13.5">
      <c r="A23" s="37" t="s">
        <v>85</v>
      </c>
      <c r="B23" s="37" t="s">
        <v>439</v>
      </c>
      <c r="C23" s="176" t="s">
        <v>440</v>
      </c>
      <c r="D23" s="177" t="s">
        <v>346</v>
      </c>
      <c r="E23" s="178">
        <v>1.2</v>
      </c>
      <c r="F23" s="178"/>
      <c r="G23" s="178"/>
      <c r="H23" s="178"/>
      <c r="I23" s="178"/>
      <c r="J23" s="178"/>
      <c r="K23" s="178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42" customFormat="1" ht="13.5">
      <c r="A24" s="37" t="s">
        <v>86</v>
      </c>
      <c r="B24" s="37"/>
      <c r="C24" s="176" t="s">
        <v>441</v>
      </c>
      <c r="D24" s="177" t="s">
        <v>346</v>
      </c>
      <c r="E24" s="178">
        <v>0.30000000000000004</v>
      </c>
      <c r="F24" s="178"/>
      <c r="G24" s="178"/>
      <c r="H24" s="178"/>
      <c r="I24" s="178"/>
      <c r="J24" s="178"/>
      <c r="K24" s="178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42" customFormat="1" ht="13.5">
      <c r="A25" s="37" t="s">
        <v>87</v>
      </c>
      <c r="B25" s="37"/>
      <c r="C25" s="176" t="s">
        <v>442</v>
      </c>
      <c r="D25" s="177" t="s">
        <v>346</v>
      </c>
      <c r="E25" s="178">
        <v>2.6</v>
      </c>
      <c r="F25" s="178"/>
      <c r="G25" s="178"/>
      <c r="H25" s="178"/>
      <c r="I25" s="178"/>
      <c r="J25" s="178"/>
      <c r="K25" s="178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2" customFormat="1" ht="13.5">
      <c r="A26" s="37" t="s">
        <v>88</v>
      </c>
      <c r="B26" s="37" t="s">
        <v>439</v>
      </c>
      <c r="C26" s="176" t="s">
        <v>443</v>
      </c>
      <c r="D26" s="177" t="s">
        <v>346</v>
      </c>
      <c r="E26" s="178">
        <v>2.6</v>
      </c>
      <c r="F26" s="178"/>
      <c r="G26" s="178"/>
      <c r="H26" s="178"/>
      <c r="I26" s="178"/>
      <c r="J26" s="178"/>
      <c r="K26" s="178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13.5">
      <c r="A27" s="37" t="s">
        <v>89</v>
      </c>
      <c r="B27" s="37"/>
      <c r="C27" s="176" t="s">
        <v>444</v>
      </c>
      <c r="D27" s="177" t="s">
        <v>23</v>
      </c>
      <c r="E27" s="178">
        <v>3.5</v>
      </c>
      <c r="F27" s="178"/>
      <c r="G27" s="178"/>
      <c r="H27" s="178"/>
      <c r="I27" s="178"/>
      <c r="J27" s="178"/>
      <c r="K27" s="178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42" customFormat="1" ht="23.25">
      <c r="A28" s="37" t="s">
        <v>90</v>
      </c>
      <c r="B28" s="179" t="s">
        <v>445</v>
      </c>
      <c r="C28" s="180" t="s">
        <v>446</v>
      </c>
      <c r="D28" s="177" t="s">
        <v>447</v>
      </c>
      <c r="E28" s="178">
        <v>38.6</v>
      </c>
      <c r="F28" s="178"/>
      <c r="G28" s="178"/>
      <c r="H28" s="178"/>
      <c r="I28" s="178"/>
      <c r="J28" s="178"/>
      <c r="K28" s="178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3.5">
      <c r="A29" s="67" t="s">
        <v>93</v>
      </c>
      <c r="B29" s="67"/>
      <c r="C29" s="67"/>
      <c r="D29" s="67"/>
      <c r="E29" s="67"/>
      <c r="F29" s="67"/>
      <c r="G29" s="67"/>
      <c r="H29" s="67"/>
      <c r="I29" s="67"/>
      <c r="J29" s="53"/>
      <c r="K29" s="53"/>
      <c r="L29" s="68"/>
      <c r="M29" s="36"/>
      <c r="N29" s="36"/>
      <c r="O29" s="36"/>
      <c r="P29" s="36"/>
      <c r="Q29" s="36"/>
      <c r="R29" s="36"/>
      <c r="S29" s="36"/>
      <c r="T29" s="36"/>
    </row>
    <row r="30" spans="1:22" s="73" customFormat="1" ht="13.5">
      <c r="A30" s="69" t="s">
        <v>94</v>
      </c>
      <c r="B30" s="70" t="s">
        <v>95</v>
      </c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s="78" customFormat="1" ht="23.25">
      <c r="A31" s="74" t="s">
        <v>96</v>
      </c>
      <c r="B31" s="182"/>
      <c r="C31" s="190" t="s">
        <v>449</v>
      </c>
      <c r="D31" s="184" t="s">
        <v>23</v>
      </c>
      <c r="E31" s="185">
        <v>19.4</v>
      </c>
      <c r="F31" s="186"/>
      <c r="G31" s="186"/>
      <c r="H31" s="186"/>
      <c r="I31" s="186"/>
      <c r="J31" s="191"/>
      <c r="K31" s="192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s="78" customFormat="1" ht="23.25">
      <c r="A32" s="74" t="s">
        <v>97</v>
      </c>
      <c r="B32" s="182"/>
      <c r="C32" s="190" t="s">
        <v>450</v>
      </c>
      <c r="D32" s="184" t="s">
        <v>23</v>
      </c>
      <c r="E32" s="185">
        <v>22.2</v>
      </c>
      <c r="F32" s="186"/>
      <c r="G32" s="186"/>
      <c r="H32" s="186"/>
      <c r="I32" s="186"/>
      <c r="J32" s="191"/>
      <c r="K32" s="192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s="78" customFormat="1" ht="13.5">
      <c r="A33" s="74" t="s">
        <v>98</v>
      </c>
      <c r="B33" s="182"/>
      <c r="C33" s="183" t="s">
        <v>907</v>
      </c>
      <c r="D33" s="184" t="s">
        <v>346</v>
      </c>
      <c r="E33" s="185">
        <v>0.2</v>
      </c>
      <c r="F33" s="186"/>
      <c r="G33" s="186"/>
      <c r="H33" s="186"/>
      <c r="I33" s="186"/>
      <c r="J33" s="191"/>
      <c r="K33" s="192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s="78" customFormat="1" ht="13.5">
      <c r="A34" s="74" t="s">
        <v>99</v>
      </c>
      <c r="B34" s="37" t="s">
        <v>437</v>
      </c>
      <c r="C34" s="183" t="s">
        <v>451</v>
      </c>
      <c r="D34" s="184" t="s">
        <v>346</v>
      </c>
      <c r="E34" s="185">
        <v>0.9</v>
      </c>
      <c r="F34" s="186"/>
      <c r="G34" s="186"/>
      <c r="H34" s="186"/>
      <c r="I34" s="186"/>
      <c r="J34" s="191"/>
      <c r="K34" s="192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s="78" customFormat="1" ht="13.5">
      <c r="A35" s="74" t="s">
        <v>100</v>
      </c>
      <c r="B35" s="182" t="s">
        <v>452</v>
      </c>
      <c r="C35" s="183" t="s">
        <v>453</v>
      </c>
      <c r="D35" s="184" t="s">
        <v>346</v>
      </c>
      <c r="E35" s="185">
        <v>0.9</v>
      </c>
      <c r="F35" s="186"/>
      <c r="G35" s="186"/>
      <c r="H35" s="186"/>
      <c r="I35" s="186"/>
      <c r="J35" s="191"/>
      <c r="K35" s="192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s="78" customFormat="1" ht="13.5">
      <c r="A36" s="74" t="s">
        <v>101</v>
      </c>
      <c r="B36" s="182"/>
      <c r="C36" s="183" t="s">
        <v>908</v>
      </c>
      <c r="D36" s="184" t="s">
        <v>346</v>
      </c>
      <c r="E36" s="185">
        <v>0.1</v>
      </c>
      <c r="F36" s="186"/>
      <c r="G36" s="186"/>
      <c r="H36" s="186"/>
      <c r="I36" s="186"/>
      <c r="J36" s="191"/>
      <c r="K36" s="192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s="78" customFormat="1" ht="13.5">
      <c r="A37" s="74" t="s">
        <v>102</v>
      </c>
      <c r="B37" s="37" t="s">
        <v>437</v>
      </c>
      <c r="C37" s="183" t="s">
        <v>454</v>
      </c>
      <c r="D37" s="184" t="s">
        <v>346</v>
      </c>
      <c r="E37" s="185">
        <v>1.2</v>
      </c>
      <c r="F37" s="186"/>
      <c r="G37" s="186"/>
      <c r="H37" s="186"/>
      <c r="I37" s="186"/>
      <c r="J37" s="191"/>
      <c r="K37" s="192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s="78" customFormat="1" ht="13.5">
      <c r="A38" s="74" t="s">
        <v>103</v>
      </c>
      <c r="B38" s="182" t="s">
        <v>452</v>
      </c>
      <c r="C38" s="183" t="s">
        <v>455</v>
      </c>
      <c r="D38" s="184" t="s">
        <v>346</v>
      </c>
      <c r="E38" s="185">
        <v>1.2</v>
      </c>
      <c r="F38" s="186"/>
      <c r="G38" s="186"/>
      <c r="H38" s="186"/>
      <c r="I38" s="186"/>
      <c r="J38" s="191"/>
      <c r="K38" s="192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2" s="78" customFormat="1" ht="23.25">
      <c r="A39" s="74" t="s">
        <v>104</v>
      </c>
      <c r="B39" s="179" t="s">
        <v>445</v>
      </c>
      <c r="C39" s="183" t="s">
        <v>456</v>
      </c>
      <c r="D39" s="184" t="s">
        <v>447</v>
      </c>
      <c r="E39" s="185">
        <v>77.3</v>
      </c>
      <c r="F39" s="186"/>
      <c r="G39" s="186"/>
      <c r="H39" s="186"/>
      <c r="I39" s="186"/>
      <c r="J39" s="191"/>
      <c r="K39" s="192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2" s="78" customFormat="1" ht="13.5">
      <c r="A40" s="74" t="s">
        <v>105</v>
      </c>
      <c r="B40" s="37" t="s">
        <v>457</v>
      </c>
      <c r="C40" s="183" t="s">
        <v>458</v>
      </c>
      <c r="D40" s="184" t="s">
        <v>447</v>
      </c>
      <c r="E40" s="185">
        <v>29.4</v>
      </c>
      <c r="F40" s="186"/>
      <c r="G40" s="186"/>
      <c r="H40" s="186"/>
      <c r="I40" s="186"/>
      <c r="J40" s="191"/>
      <c r="K40" s="192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s="78" customFormat="1" ht="23.25">
      <c r="A41" s="74" t="s">
        <v>460</v>
      </c>
      <c r="B41" s="179" t="s">
        <v>445</v>
      </c>
      <c r="C41" s="183" t="s">
        <v>459</v>
      </c>
      <c r="D41" s="184" t="s">
        <v>447</v>
      </c>
      <c r="E41" s="185">
        <v>50.8</v>
      </c>
      <c r="F41" s="186"/>
      <c r="G41" s="186"/>
      <c r="H41" s="186"/>
      <c r="I41" s="186"/>
      <c r="J41" s="191"/>
      <c r="K41" s="192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s="78" customFormat="1" ht="13.5">
      <c r="A42" s="74" t="s">
        <v>462</v>
      </c>
      <c r="B42" s="37" t="s">
        <v>457</v>
      </c>
      <c r="C42" s="183" t="s">
        <v>461</v>
      </c>
      <c r="D42" s="184" t="s">
        <v>447</v>
      </c>
      <c r="E42" s="185">
        <v>23.7</v>
      </c>
      <c r="F42" s="186"/>
      <c r="G42" s="186"/>
      <c r="H42" s="186"/>
      <c r="I42" s="186"/>
      <c r="J42" s="191"/>
      <c r="K42" s="192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s="73" customFormat="1" ht="13.5">
      <c r="A43" s="79" t="s">
        <v>106</v>
      </c>
      <c r="B43" s="79"/>
      <c r="C43" s="79"/>
      <c r="D43" s="79"/>
      <c r="E43" s="79"/>
      <c r="F43" s="79"/>
      <c r="G43" s="79"/>
      <c r="H43" s="79"/>
      <c r="I43" s="79"/>
      <c r="J43" s="53"/>
      <c r="K43" s="53"/>
      <c r="L43" s="80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s="78" customFormat="1" ht="13.5">
      <c r="A44" s="74" t="s">
        <v>107</v>
      </c>
      <c r="B44" s="81" t="s">
        <v>108</v>
      </c>
      <c r="C44" s="81"/>
      <c r="D44" s="81"/>
      <c r="E44" s="81"/>
      <c r="F44" s="81"/>
      <c r="G44" s="81"/>
      <c r="H44" s="81"/>
      <c r="I44" s="81"/>
      <c r="J44" s="81"/>
      <c r="K44" s="81"/>
      <c r="L44" s="71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0" s="42" customFormat="1" ht="13.5">
      <c r="A45" s="37" t="s">
        <v>109</v>
      </c>
      <c r="B45" s="38"/>
      <c r="C45" s="44"/>
      <c r="D45" s="40"/>
      <c r="E45" s="41"/>
      <c r="F45" s="41"/>
      <c r="G45" s="41"/>
      <c r="H45" s="41"/>
      <c r="I45" s="41"/>
      <c r="J45" s="41"/>
      <c r="K45" s="41"/>
      <c r="L45" s="36"/>
      <c r="M45" s="36"/>
      <c r="N45" s="36"/>
      <c r="O45" s="36"/>
      <c r="P45" s="36"/>
      <c r="Q45" s="36"/>
      <c r="R45" s="36"/>
      <c r="S45" s="36"/>
      <c r="T45" s="36"/>
    </row>
    <row r="46" spans="1:22" s="73" customFormat="1" ht="13.5">
      <c r="A46" s="79" t="s">
        <v>119</v>
      </c>
      <c r="B46" s="79"/>
      <c r="C46" s="79"/>
      <c r="D46" s="79"/>
      <c r="E46" s="79"/>
      <c r="F46" s="79"/>
      <c r="G46" s="79"/>
      <c r="H46" s="79"/>
      <c r="I46" s="79"/>
      <c r="J46" s="53"/>
      <c r="K46" s="53"/>
      <c r="L46" s="80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0" s="42" customFormat="1" ht="15.75" customHeight="1">
      <c r="A47" s="34" t="s">
        <v>120</v>
      </c>
      <c r="B47" s="35" t="s">
        <v>121</v>
      </c>
      <c r="C47" s="35"/>
      <c r="D47" s="35"/>
      <c r="E47" s="35"/>
      <c r="F47" s="35"/>
      <c r="G47" s="35"/>
      <c r="H47" s="35"/>
      <c r="I47" s="35"/>
      <c r="J47" s="35"/>
      <c r="K47" s="35"/>
      <c r="L47" s="68"/>
      <c r="M47" s="36"/>
      <c r="N47" s="36"/>
      <c r="O47" s="36"/>
      <c r="P47" s="36"/>
      <c r="Q47" s="36"/>
      <c r="R47" s="36"/>
      <c r="S47" s="36"/>
      <c r="T47" s="36"/>
    </row>
    <row r="48" spans="1:20" s="42" customFormat="1" ht="13.5">
      <c r="A48" s="82" t="s">
        <v>122</v>
      </c>
      <c r="B48" s="120"/>
      <c r="C48" s="44"/>
      <c r="D48" s="40"/>
      <c r="E48" s="41"/>
      <c r="F48" s="83"/>
      <c r="G48" s="83"/>
      <c r="H48" s="83"/>
      <c r="I48" s="83"/>
      <c r="J48" s="83"/>
      <c r="K48" s="41"/>
      <c r="L48" s="36"/>
      <c r="M48" s="36"/>
      <c r="N48" s="36"/>
      <c r="O48" s="36"/>
      <c r="P48" s="36"/>
      <c r="Q48" s="36"/>
      <c r="R48" s="36"/>
      <c r="S48" s="36"/>
      <c r="T48" s="36"/>
    </row>
    <row r="49" spans="1:20" s="42" customFormat="1" ht="15.75" customHeight="1">
      <c r="A49" s="67" t="s">
        <v>132</v>
      </c>
      <c r="B49" s="67"/>
      <c r="C49" s="67"/>
      <c r="D49" s="67"/>
      <c r="E49" s="67"/>
      <c r="F49" s="67"/>
      <c r="G49" s="67"/>
      <c r="H49" s="67"/>
      <c r="I49" s="67"/>
      <c r="J49" s="267"/>
      <c r="K49" s="267"/>
      <c r="L49" s="68"/>
      <c r="M49" s="36"/>
      <c r="N49" s="36"/>
      <c r="O49" s="36"/>
      <c r="P49" s="36"/>
      <c r="Q49" s="36"/>
      <c r="R49" s="36"/>
      <c r="S49" s="36"/>
      <c r="T49" s="36"/>
    </row>
    <row r="50" spans="1:22" s="73" customFormat="1" ht="13.5">
      <c r="A50" s="69" t="s">
        <v>133</v>
      </c>
      <c r="B50" s="85" t="s">
        <v>134</v>
      </c>
      <c r="C50" s="85"/>
      <c r="D50" s="85"/>
      <c r="E50" s="85"/>
      <c r="F50" s="85"/>
      <c r="G50" s="85"/>
      <c r="H50" s="85"/>
      <c r="I50" s="85"/>
      <c r="J50" s="85"/>
      <c r="K50" s="85"/>
      <c r="L50" s="71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s="78" customFormat="1" ht="13.5">
      <c r="A51" s="74" t="s">
        <v>135</v>
      </c>
      <c r="B51" s="120">
        <v>72081</v>
      </c>
      <c r="C51" s="47" t="s">
        <v>904</v>
      </c>
      <c r="D51" s="75" t="s">
        <v>23</v>
      </c>
      <c r="E51" s="41">
        <v>44.88</v>
      </c>
      <c r="F51" s="41"/>
      <c r="G51" s="41"/>
      <c r="H51" s="41"/>
      <c r="I51" s="41"/>
      <c r="J51" s="77"/>
      <c r="K51" s="41"/>
      <c r="L51" s="71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s="78" customFormat="1" ht="23.25">
      <c r="A52" s="74" t="s">
        <v>136</v>
      </c>
      <c r="B52" s="120" t="s">
        <v>519</v>
      </c>
      <c r="C52" s="47" t="s">
        <v>520</v>
      </c>
      <c r="D52" s="75" t="s">
        <v>23</v>
      </c>
      <c r="E52" s="41">
        <f>E51*1.005</f>
        <v>45.1044</v>
      </c>
      <c r="F52" s="41"/>
      <c r="G52" s="41"/>
      <c r="H52" s="41"/>
      <c r="I52" s="41"/>
      <c r="J52" s="77"/>
      <c r="K52" s="41"/>
      <c r="L52" s="71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s="78" customFormat="1" ht="13.5">
      <c r="A53" s="74" t="s">
        <v>137</v>
      </c>
      <c r="B53" s="120">
        <v>72104</v>
      </c>
      <c r="C53" s="46" t="s">
        <v>523</v>
      </c>
      <c r="D53" s="75" t="s">
        <v>189</v>
      </c>
      <c r="E53" s="295">
        <v>6.8</v>
      </c>
      <c r="F53" s="41"/>
      <c r="G53" s="41"/>
      <c r="H53" s="41"/>
      <c r="I53" s="41"/>
      <c r="J53" s="77"/>
      <c r="K53" s="41"/>
      <c r="L53" s="71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s="73" customFormat="1" ht="14.25">
      <c r="A54" s="79" t="s">
        <v>145</v>
      </c>
      <c r="B54" s="79"/>
      <c r="C54" s="79"/>
      <c r="D54" s="79"/>
      <c r="E54" s="79"/>
      <c r="F54" s="79"/>
      <c r="G54" s="79"/>
      <c r="H54" s="79"/>
      <c r="I54" s="79"/>
      <c r="J54" s="267"/>
      <c r="K54" s="267"/>
      <c r="L54" s="80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0" s="42" customFormat="1" ht="13.5">
      <c r="A55" s="37" t="s">
        <v>146</v>
      </c>
      <c r="B55" s="55" t="s">
        <v>147</v>
      </c>
      <c r="C55" s="55"/>
      <c r="D55" s="55"/>
      <c r="E55" s="55"/>
      <c r="F55" s="55"/>
      <c r="G55" s="55"/>
      <c r="H55" s="55"/>
      <c r="I55" s="55"/>
      <c r="J55" s="55"/>
      <c r="K55" s="55"/>
      <c r="L55" s="68"/>
      <c r="M55" s="36"/>
      <c r="N55" s="36"/>
      <c r="O55" s="36"/>
      <c r="P55" s="36"/>
      <c r="Q55" s="36"/>
      <c r="R55" s="36"/>
      <c r="S55" s="36"/>
      <c r="T55" s="36"/>
    </row>
    <row r="56" spans="1:20" s="91" customFormat="1" ht="14.25">
      <c r="A56" s="86" t="s">
        <v>148</v>
      </c>
      <c r="B56" s="214" t="s">
        <v>546</v>
      </c>
      <c r="C56" s="271" t="s">
        <v>525</v>
      </c>
      <c r="D56" s="272" t="s">
        <v>189</v>
      </c>
      <c r="E56" s="88">
        <f>4*9.58</f>
        <v>38.32</v>
      </c>
      <c r="F56" s="271"/>
      <c r="G56" s="83"/>
      <c r="H56" s="271"/>
      <c r="I56" s="83"/>
      <c r="J56" s="83"/>
      <c r="K56" s="83"/>
      <c r="L56" s="90"/>
      <c r="M56" s="90"/>
      <c r="N56" s="90"/>
      <c r="O56" s="90"/>
      <c r="P56" s="90"/>
      <c r="Q56" s="90"/>
      <c r="R56" s="90"/>
      <c r="S56" s="90"/>
      <c r="T56" s="90"/>
    </row>
    <row r="57" spans="1:20" s="91" customFormat="1" ht="14.25">
      <c r="A57" s="86" t="s">
        <v>149</v>
      </c>
      <c r="B57" s="203"/>
      <c r="C57" s="230" t="s">
        <v>530</v>
      </c>
      <c r="D57" s="177" t="s">
        <v>391</v>
      </c>
      <c r="E57" s="41">
        <v>2</v>
      </c>
      <c r="F57" s="41"/>
      <c r="G57" s="41"/>
      <c r="H57" s="41"/>
      <c r="I57" s="41"/>
      <c r="J57" s="41"/>
      <c r="K57" s="83"/>
      <c r="L57" s="90"/>
      <c r="M57" s="90"/>
      <c r="N57" s="90"/>
      <c r="O57" s="90"/>
      <c r="P57" s="90"/>
      <c r="Q57" s="90"/>
      <c r="R57" s="90"/>
      <c r="S57" s="90"/>
      <c r="T57" s="90"/>
    </row>
    <row r="58" spans="1:20" s="91" customFormat="1" ht="14.25">
      <c r="A58" s="86" t="s">
        <v>151</v>
      </c>
      <c r="B58" s="203"/>
      <c r="C58" s="230" t="s">
        <v>532</v>
      </c>
      <c r="D58" s="177" t="s">
        <v>189</v>
      </c>
      <c r="E58" s="41">
        <v>9.58</v>
      </c>
      <c r="F58" s="41"/>
      <c r="G58" s="41"/>
      <c r="H58" s="41"/>
      <c r="I58" s="41"/>
      <c r="J58" s="41"/>
      <c r="K58" s="83"/>
      <c r="L58" s="90"/>
      <c r="M58" s="90"/>
      <c r="N58" s="90"/>
      <c r="O58" s="90"/>
      <c r="P58" s="90"/>
      <c r="Q58" s="90"/>
      <c r="R58" s="90"/>
      <c r="S58" s="90"/>
      <c r="T58" s="90"/>
    </row>
    <row r="59" spans="1:20" s="91" customFormat="1" ht="14.25">
      <c r="A59" s="86" t="s">
        <v>153</v>
      </c>
      <c r="B59" s="203"/>
      <c r="C59" s="211" t="s">
        <v>544</v>
      </c>
      <c r="D59" s="177" t="s">
        <v>391</v>
      </c>
      <c r="E59" s="41">
        <v>4</v>
      </c>
      <c r="F59" s="211"/>
      <c r="G59" s="41"/>
      <c r="H59" s="211"/>
      <c r="I59" s="41"/>
      <c r="J59" s="41"/>
      <c r="K59" s="83"/>
      <c r="L59" s="90"/>
      <c r="M59" s="90"/>
      <c r="N59" s="90"/>
      <c r="O59" s="90"/>
      <c r="P59" s="90"/>
      <c r="Q59" s="90"/>
      <c r="R59" s="90"/>
      <c r="S59" s="90"/>
      <c r="T59" s="90"/>
    </row>
    <row r="60" spans="1:20" s="91" customFormat="1" ht="14.25">
      <c r="A60" s="86" t="s">
        <v>155</v>
      </c>
      <c r="B60" s="203"/>
      <c r="C60" s="44" t="s">
        <v>538</v>
      </c>
      <c r="D60" s="40" t="s">
        <v>391</v>
      </c>
      <c r="E60" s="41">
        <v>1</v>
      </c>
      <c r="F60" s="41"/>
      <c r="G60" s="41"/>
      <c r="H60" s="41"/>
      <c r="I60" s="41"/>
      <c r="J60" s="41"/>
      <c r="K60" s="83"/>
      <c r="L60" s="90"/>
      <c r="M60" s="90"/>
      <c r="N60" s="90"/>
      <c r="O60" s="90"/>
      <c r="P60" s="90"/>
      <c r="Q60" s="90"/>
      <c r="R60" s="90"/>
      <c r="S60" s="90"/>
      <c r="T60" s="90"/>
    </row>
    <row r="61" spans="1:20" ht="14.25">
      <c r="A61" s="67" t="s">
        <v>158</v>
      </c>
      <c r="B61" s="67"/>
      <c r="C61" s="67"/>
      <c r="D61" s="67"/>
      <c r="E61" s="67"/>
      <c r="F61" s="67"/>
      <c r="G61" s="67"/>
      <c r="H61" s="67"/>
      <c r="I61" s="67"/>
      <c r="J61" s="267"/>
      <c r="K61" s="260"/>
      <c r="L61" s="36"/>
      <c r="M61" s="36"/>
      <c r="N61" s="36"/>
      <c r="O61" s="36"/>
      <c r="P61" s="36"/>
      <c r="Q61" s="36"/>
      <c r="R61" s="36"/>
      <c r="S61" s="36"/>
      <c r="T61" s="36"/>
    </row>
    <row r="62" spans="1:20" s="42" customFormat="1" ht="13.5">
      <c r="A62" s="34" t="s">
        <v>159</v>
      </c>
      <c r="B62" s="95" t="s">
        <v>160</v>
      </c>
      <c r="C62" s="95"/>
      <c r="D62" s="95"/>
      <c r="E62" s="95"/>
      <c r="F62" s="95"/>
      <c r="G62" s="95"/>
      <c r="H62" s="95"/>
      <c r="I62" s="95"/>
      <c r="J62" s="95"/>
      <c r="K62" s="95"/>
      <c r="L62" s="36"/>
      <c r="M62" s="36"/>
      <c r="N62" s="36"/>
      <c r="O62" s="36"/>
      <c r="P62" s="36"/>
      <c r="Q62" s="36"/>
      <c r="R62" s="36"/>
      <c r="S62" s="36"/>
      <c r="T62" s="36"/>
    </row>
    <row r="63" spans="1:20" s="42" customFormat="1" ht="13.5">
      <c r="A63" s="37" t="s">
        <v>161</v>
      </c>
      <c r="B63" s="37"/>
      <c r="C63" s="230"/>
      <c r="D63" s="177"/>
      <c r="E63" s="347"/>
      <c r="F63" s="41"/>
      <c r="G63" s="41"/>
      <c r="H63" s="41"/>
      <c r="I63" s="41"/>
      <c r="J63" s="41"/>
      <c r="K63" s="83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42" customFormat="1" ht="13.5">
      <c r="A64" s="100" t="s">
        <v>171</v>
      </c>
      <c r="B64" s="100"/>
      <c r="C64" s="100"/>
      <c r="D64" s="100"/>
      <c r="E64" s="100"/>
      <c r="F64" s="100"/>
      <c r="G64" s="100"/>
      <c r="H64" s="100"/>
      <c r="I64" s="100"/>
      <c r="J64" s="320"/>
      <c r="K64" s="320"/>
      <c r="L64" s="36"/>
      <c r="M64" s="36"/>
      <c r="N64" s="36"/>
      <c r="O64" s="36"/>
      <c r="P64" s="36"/>
      <c r="Q64" s="36"/>
      <c r="R64" s="36"/>
      <c r="S64" s="36"/>
      <c r="T64" s="36"/>
    </row>
    <row r="65" spans="1:20" s="42" customFormat="1" ht="13.5">
      <c r="A65" s="34" t="s">
        <v>172</v>
      </c>
      <c r="B65" s="55" t="s">
        <v>173</v>
      </c>
      <c r="C65" s="55"/>
      <c r="D65" s="55"/>
      <c r="E65" s="55"/>
      <c r="F65" s="55"/>
      <c r="G65" s="55"/>
      <c r="H65" s="55"/>
      <c r="I65" s="55"/>
      <c r="J65" s="55"/>
      <c r="K65" s="55"/>
      <c r="L65" s="36"/>
      <c r="M65" s="36"/>
      <c r="N65" s="36"/>
      <c r="O65" s="36"/>
      <c r="P65" s="36"/>
      <c r="Q65" s="36"/>
      <c r="R65" s="36"/>
      <c r="S65" s="36"/>
      <c r="T65" s="36"/>
    </row>
    <row r="66" spans="1:20" s="42" customFormat="1" ht="13.5">
      <c r="A66" s="37" t="s">
        <v>174</v>
      </c>
      <c r="B66" s="37"/>
      <c r="C66" s="348"/>
      <c r="D66" s="177"/>
      <c r="E66" s="41"/>
      <c r="F66" s="41"/>
      <c r="G66" s="41"/>
      <c r="H66" s="41"/>
      <c r="I66" s="41"/>
      <c r="J66" s="41"/>
      <c r="K66" s="83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4.25">
      <c r="A67" s="67" t="s">
        <v>272</v>
      </c>
      <c r="B67" s="67"/>
      <c r="C67" s="67"/>
      <c r="D67" s="67"/>
      <c r="E67" s="67"/>
      <c r="F67" s="67"/>
      <c r="G67" s="67"/>
      <c r="H67" s="67"/>
      <c r="I67" s="67"/>
      <c r="J67" s="267"/>
      <c r="K67" s="260"/>
      <c r="L67" s="36"/>
      <c r="M67" s="36"/>
      <c r="N67" s="36"/>
      <c r="O67" s="36"/>
      <c r="P67" s="36"/>
      <c r="Q67" s="36"/>
      <c r="R67" s="36"/>
      <c r="S67" s="36"/>
      <c r="T67" s="36"/>
    </row>
    <row r="68" spans="1:22" s="73" customFormat="1" ht="13.5">
      <c r="A68" s="69" t="s">
        <v>273</v>
      </c>
      <c r="B68" s="70" t="s">
        <v>274</v>
      </c>
      <c r="C68" s="70"/>
      <c r="D68" s="70"/>
      <c r="E68" s="70"/>
      <c r="F68" s="70"/>
      <c r="G68" s="70"/>
      <c r="H68" s="70"/>
      <c r="I68" s="70"/>
      <c r="J68" s="70"/>
      <c r="K68" s="70"/>
      <c r="L68" s="71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2" s="194" customFormat="1" ht="14.25">
      <c r="A69" s="74" t="s">
        <v>275</v>
      </c>
      <c r="B69" s="120"/>
      <c r="C69" s="76"/>
      <c r="D69" s="75"/>
      <c r="E69" s="41"/>
      <c r="F69" s="76"/>
      <c r="G69" s="41"/>
      <c r="H69" s="76"/>
      <c r="I69" s="41"/>
      <c r="J69" s="41"/>
      <c r="K69" s="41"/>
      <c r="L69" s="71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2" s="73" customFormat="1" ht="14.25">
      <c r="A70" s="79" t="s">
        <v>285</v>
      </c>
      <c r="B70" s="79"/>
      <c r="C70" s="79"/>
      <c r="D70" s="79"/>
      <c r="E70" s="79"/>
      <c r="F70" s="79"/>
      <c r="G70" s="79"/>
      <c r="H70" s="79"/>
      <c r="I70" s="79"/>
      <c r="J70" s="267"/>
      <c r="K70" s="267"/>
      <c r="L70" s="80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1:20" ht="13.5">
      <c r="A71" s="34" t="s">
        <v>286</v>
      </c>
      <c r="B71" s="35" t="s">
        <v>287</v>
      </c>
      <c r="C71" s="35"/>
      <c r="D71" s="35"/>
      <c r="E71" s="35"/>
      <c r="F71" s="35"/>
      <c r="G71" s="35"/>
      <c r="H71" s="35"/>
      <c r="I71" s="35"/>
      <c r="J71" s="35"/>
      <c r="K71" s="35"/>
      <c r="L71" s="36"/>
      <c r="M71" s="36"/>
      <c r="N71" s="36"/>
      <c r="O71" s="36"/>
      <c r="P71" s="36"/>
      <c r="Q71" s="36"/>
      <c r="R71" s="36"/>
      <c r="S71" s="36"/>
      <c r="T71" s="36"/>
    </row>
    <row r="72" spans="1:20" s="42" customFormat="1" ht="13.5">
      <c r="A72" s="118" t="s">
        <v>288</v>
      </c>
      <c r="B72" s="118"/>
      <c r="C72" s="322" t="s">
        <v>648</v>
      </c>
      <c r="D72" s="323" t="s">
        <v>391</v>
      </c>
      <c r="E72" s="41">
        <v>1</v>
      </c>
      <c r="F72" s="322"/>
      <c r="G72" s="322"/>
      <c r="H72" s="322"/>
      <c r="I72" s="322"/>
      <c r="J72" s="322"/>
      <c r="K72" s="141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42" customFormat="1" ht="13.5">
      <c r="A73" s="118" t="s">
        <v>289</v>
      </c>
      <c r="B73" s="118"/>
      <c r="C73" s="322" t="s">
        <v>655</v>
      </c>
      <c r="D73" s="323" t="s">
        <v>391</v>
      </c>
      <c r="E73" s="41">
        <v>1</v>
      </c>
      <c r="F73" s="142"/>
      <c r="G73" s="322"/>
      <c r="H73" s="142"/>
      <c r="I73" s="322"/>
      <c r="J73" s="322"/>
      <c r="K73" s="141"/>
      <c r="L73" s="36"/>
      <c r="M73" s="36"/>
      <c r="N73" s="36"/>
      <c r="O73" s="36"/>
      <c r="P73" s="36"/>
      <c r="Q73" s="36"/>
      <c r="R73" s="36"/>
      <c r="S73" s="36"/>
      <c r="T73" s="36"/>
    </row>
    <row r="74" spans="1:11" ht="14.25">
      <c r="A74" s="67" t="s">
        <v>298</v>
      </c>
      <c r="B74" s="67"/>
      <c r="C74" s="67"/>
      <c r="D74" s="67"/>
      <c r="E74" s="67"/>
      <c r="F74" s="67"/>
      <c r="G74" s="67"/>
      <c r="H74" s="67"/>
      <c r="I74" s="67"/>
      <c r="J74" s="267"/>
      <c r="K74" s="260"/>
    </row>
    <row r="75" spans="1:20" ht="13.5">
      <c r="A75" s="34" t="s">
        <v>299</v>
      </c>
      <c r="B75" s="35" t="s">
        <v>300</v>
      </c>
      <c r="C75" s="35"/>
      <c r="D75" s="35"/>
      <c r="E75" s="35"/>
      <c r="F75" s="35"/>
      <c r="G75" s="35"/>
      <c r="H75" s="35"/>
      <c r="I75" s="35"/>
      <c r="J75" s="35"/>
      <c r="K75" s="35"/>
      <c r="L75" s="36"/>
      <c r="M75" s="36"/>
      <c r="N75" s="36"/>
      <c r="O75" s="36"/>
      <c r="P75" s="36"/>
      <c r="Q75" s="36"/>
      <c r="R75" s="36"/>
      <c r="S75" s="36"/>
      <c r="T75" s="36"/>
    </row>
    <row r="76" spans="1:20" s="42" customFormat="1" ht="13.5">
      <c r="A76" s="37" t="s">
        <v>301</v>
      </c>
      <c r="B76" s="120">
        <v>5974</v>
      </c>
      <c r="C76" s="44" t="s">
        <v>656</v>
      </c>
      <c r="D76" s="40" t="s">
        <v>23</v>
      </c>
      <c r="E76" s="41">
        <f>4*3.75*1</f>
        <v>15</v>
      </c>
      <c r="F76" s="41"/>
      <c r="G76" s="41"/>
      <c r="H76" s="41"/>
      <c r="I76" s="41"/>
      <c r="J76" s="41"/>
      <c r="K76" s="41"/>
      <c r="L76" s="36"/>
      <c r="M76" s="36"/>
      <c r="N76" s="36"/>
      <c r="O76" s="36"/>
      <c r="P76" s="36"/>
      <c r="Q76" s="36"/>
      <c r="R76" s="36"/>
      <c r="S76" s="36"/>
      <c r="T76" s="36"/>
    </row>
    <row r="77" spans="1:20" s="42" customFormat="1" ht="23.25">
      <c r="A77" s="37" t="s">
        <v>303</v>
      </c>
      <c r="B77" s="120">
        <v>5992</v>
      </c>
      <c r="C77" s="44" t="s">
        <v>659</v>
      </c>
      <c r="D77" s="40" t="s">
        <v>23</v>
      </c>
      <c r="E77" s="41">
        <f>E76</f>
        <v>15</v>
      </c>
      <c r="F77" s="41"/>
      <c r="G77" s="41"/>
      <c r="H77" s="41"/>
      <c r="I77" s="41"/>
      <c r="J77" s="41"/>
      <c r="K77" s="41"/>
      <c r="L77" s="36"/>
      <c r="M77" s="36"/>
      <c r="N77" s="36"/>
      <c r="O77" s="36"/>
      <c r="P77" s="36"/>
      <c r="Q77" s="36"/>
      <c r="R77" s="36"/>
      <c r="S77" s="36"/>
      <c r="T77" s="36"/>
    </row>
    <row r="78" spans="1:20" s="42" customFormat="1" ht="23.25">
      <c r="A78" s="37" t="s">
        <v>304</v>
      </c>
      <c r="B78" s="120" t="s">
        <v>799</v>
      </c>
      <c r="C78" s="291" t="s">
        <v>800</v>
      </c>
      <c r="D78" s="40" t="s">
        <v>23</v>
      </c>
      <c r="E78" s="41">
        <f>26*1.1</f>
        <v>28.6</v>
      </c>
      <c r="F78" s="41"/>
      <c r="G78" s="41"/>
      <c r="H78" s="41"/>
      <c r="I78" s="41"/>
      <c r="J78" s="41"/>
      <c r="K78" s="41"/>
      <c r="L78" s="36"/>
      <c r="M78" s="36"/>
      <c r="N78" s="36"/>
      <c r="O78" s="36"/>
      <c r="P78" s="36"/>
      <c r="Q78" s="36"/>
      <c r="R78" s="36"/>
      <c r="S78" s="36"/>
      <c r="T78" s="36"/>
    </row>
    <row r="79" spans="1:20" s="42" customFormat="1" ht="13.5">
      <c r="A79" s="37" t="s">
        <v>305</v>
      </c>
      <c r="B79" s="120">
        <v>72948</v>
      </c>
      <c r="C79" s="291" t="s">
        <v>801</v>
      </c>
      <c r="D79" s="40" t="s">
        <v>346</v>
      </c>
      <c r="E79" s="41">
        <f>(E78/1.1)*0.6</f>
        <v>15.600000000000001</v>
      </c>
      <c r="F79" s="41"/>
      <c r="G79" s="41"/>
      <c r="H79" s="41"/>
      <c r="I79" s="41"/>
      <c r="J79" s="41"/>
      <c r="K79" s="41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3.5">
      <c r="A80" s="67" t="s">
        <v>313</v>
      </c>
      <c r="B80" s="67"/>
      <c r="C80" s="67"/>
      <c r="D80" s="67"/>
      <c r="E80" s="67"/>
      <c r="F80" s="67"/>
      <c r="G80" s="67"/>
      <c r="H80" s="67"/>
      <c r="I80" s="67"/>
      <c r="J80" s="53"/>
      <c r="K80" s="53"/>
      <c r="L80" s="68"/>
      <c r="M80" s="36"/>
      <c r="N80" s="36"/>
      <c r="O80" s="36"/>
      <c r="P80" s="36"/>
      <c r="Q80" s="36"/>
      <c r="R80" s="36"/>
      <c r="S80" s="36"/>
      <c r="T80" s="36"/>
    </row>
    <row r="81" spans="1:21" s="73" customFormat="1" ht="13.5" customHeight="1">
      <c r="A81" s="69" t="s">
        <v>314</v>
      </c>
      <c r="B81" s="85" t="s">
        <v>315</v>
      </c>
      <c r="C81" s="85"/>
      <c r="D81" s="85"/>
      <c r="E81" s="85"/>
      <c r="F81" s="85"/>
      <c r="G81" s="85"/>
      <c r="H81" s="85"/>
      <c r="I81" s="85"/>
      <c r="J81" s="85"/>
      <c r="K81" s="85"/>
      <c r="L81" s="71"/>
      <c r="M81" s="72"/>
      <c r="N81" s="72"/>
      <c r="O81" s="72"/>
      <c r="P81" s="72"/>
      <c r="Q81" s="72"/>
      <c r="R81" s="72"/>
      <c r="S81" s="72"/>
      <c r="T81" s="72"/>
      <c r="U81" s="72"/>
    </row>
    <row r="82" spans="1:21" s="78" customFormat="1" ht="13.5">
      <c r="A82" s="74" t="s">
        <v>316</v>
      </c>
      <c r="B82" s="253"/>
      <c r="C82" s="76"/>
      <c r="D82" s="75"/>
      <c r="E82" s="41"/>
      <c r="F82" s="41"/>
      <c r="G82" s="41"/>
      <c r="H82" s="41"/>
      <c r="I82" s="41"/>
      <c r="J82" s="41"/>
      <c r="K82" s="41"/>
      <c r="L82" s="71"/>
      <c r="M82" s="72"/>
      <c r="N82" s="72"/>
      <c r="O82" s="72"/>
      <c r="P82" s="72"/>
      <c r="Q82" s="72"/>
      <c r="R82" s="72"/>
      <c r="S82" s="72"/>
      <c r="T82" s="72"/>
      <c r="U82" s="72"/>
    </row>
    <row r="83" spans="1:21" s="73" customFormat="1" ht="13.5" customHeight="1">
      <c r="A83" s="122" t="s">
        <v>326</v>
      </c>
      <c r="B83" s="122"/>
      <c r="C83" s="122"/>
      <c r="D83" s="122"/>
      <c r="E83" s="122"/>
      <c r="F83" s="122"/>
      <c r="G83" s="122"/>
      <c r="H83" s="122"/>
      <c r="I83" s="122"/>
      <c r="J83" s="53"/>
      <c r="K83" s="53"/>
      <c r="L83" s="80"/>
      <c r="M83" s="72"/>
      <c r="N83" s="72"/>
      <c r="O83" s="72"/>
      <c r="P83" s="72"/>
      <c r="Q83" s="72"/>
      <c r="R83" s="72"/>
      <c r="S83" s="72"/>
      <c r="T83" s="72"/>
      <c r="U83" s="72"/>
    </row>
    <row r="84" spans="1:20" s="42" customFormat="1" ht="13.5" customHeight="1">
      <c r="A84" s="34" t="s">
        <v>327</v>
      </c>
      <c r="B84" s="123" t="s">
        <v>328</v>
      </c>
      <c r="C84" s="123"/>
      <c r="D84" s="123"/>
      <c r="E84" s="123"/>
      <c r="F84" s="123"/>
      <c r="G84" s="123"/>
      <c r="H84" s="123"/>
      <c r="I84" s="123"/>
      <c r="J84" s="123"/>
      <c r="K84" s="123"/>
      <c r="L84" s="68"/>
      <c r="M84" s="36"/>
      <c r="N84" s="36"/>
      <c r="O84" s="36"/>
      <c r="P84" s="36"/>
      <c r="Q84" s="36"/>
      <c r="R84" s="36"/>
      <c r="S84" s="36"/>
      <c r="T84" s="36"/>
    </row>
    <row r="85" spans="1:20" s="42" customFormat="1" ht="13.5">
      <c r="A85" s="37" t="s">
        <v>329</v>
      </c>
      <c r="B85" s="38" t="s">
        <v>692</v>
      </c>
      <c r="C85" s="46" t="s">
        <v>693</v>
      </c>
      <c r="D85" s="40" t="s">
        <v>23</v>
      </c>
      <c r="E85" s="41">
        <f>E77</f>
        <v>15</v>
      </c>
      <c r="F85" s="41"/>
      <c r="G85" s="41"/>
      <c r="H85" s="41"/>
      <c r="I85" s="41"/>
      <c r="J85" s="41"/>
      <c r="K85" s="41"/>
      <c r="L85" s="36"/>
      <c r="M85" s="36"/>
      <c r="N85" s="36"/>
      <c r="O85" s="36"/>
      <c r="P85" s="36"/>
      <c r="Q85" s="36"/>
      <c r="R85" s="36"/>
      <c r="S85" s="36"/>
      <c r="T85" s="36"/>
    </row>
    <row r="86" spans="1:20" s="42" customFormat="1" ht="13.5">
      <c r="A86" s="37" t="s">
        <v>330</v>
      </c>
      <c r="B86" s="120">
        <v>6082</v>
      </c>
      <c r="C86" s="46" t="s">
        <v>698</v>
      </c>
      <c r="D86" s="40" t="s">
        <v>23</v>
      </c>
      <c r="E86" s="41">
        <f>E51</f>
        <v>44.88</v>
      </c>
      <c r="F86" s="41"/>
      <c r="G86" s="41"/>
      <c r="H86" s="41"/>
      <c r="I86" s="41"/>
      <c r="J86" s="41"/>
      <c r="K86" s="41"/>
      <c r="L86" s="36"/>
      <c r="M86" s="36"/>
      <c r="N86" s="36"/>
      <c r="O86" s="36"/>
      <c r="P86" s="36"/>
      <c r="Q86" s="36"/>
      <c r="R86" s="36"/>
      <c r="S86" s="36"/>
      <c r="T86" s="36"/>
    </row>
    <row r="87" spans="1:20" s="42" customFormat="1" ht="13.5">
      <c r="A87" s="37" t="s">
        <v>331</v>
      </c>
      <c r="B87" s="38" t="s">
        <v>694</v>
      </c>
      <c r="C87" s="46" t="s">
        <v>695</v>
      </c>
      <c r="D87" s="40" t="s">
        <v>23</v>
      </c>
      <c r="E87" s="41">
        <f>E85</f>
        <v>15</v>
      </c>
      <c r="F87" s="41"/>
      <c r="G87" s="41"/>
      <c r="H87" s="41"/>
      <c r="I87" s="41"/>
      <c r="J87" s="41"/>
      <c r="K87" s="41"/>
      <c r="L87" s="36"/>
      <c r="M87" s="36"/>
      <c r="N87" s="36"/>
      <c r="O87" s="36"/>
      <c r="P87" s="36"/>
      <c r="Q87" s="36"/>
      <c r="R87" s="36"/>
      <c r="S87" s="36"/>
      <c r="T87" s="36"/>
    </row>
    <row r="88" spans="1:20" s="42" customFormat="1" ht="14.25" customHeight="1">
      <c r="A88" s="67" t="s">
        <v>339</v>
      </c>
      <c r="B88" s="67"/>
      <c r="C88" s="67"/>
      <c r="D88" s="67"/>
      <c r="E88" s="67"/>
      <c r="F88" s="67"/>
      <c r="G88" s="67"/>
      <c r="H88" s="67"/>
      <c r="I88" s="67"/>
      <c r="J88" s="267"/>
      <c r="K88" s="267"/>
      <c r="L88" s="68"/>
      <c r="M88" s="36"/>
      <c r="N88" s="36"/>
      <c r="O88" s="36"/>
      <c r="P88" s="36"/>
      <c r="Q88" s="36"/>
      <c r="R88" s="36"/>
      <c r="S88" s="36"/>
      <c r="T88" s="36"/>
    </row>
    <row r="89" spans="1:22" s="73" customFormat="1" ht="13.5" customHeight="1">
      <c r="A89" s="69" t="s">
        <v>340</v>
      </c>
      <c r="B89" s="70" t="s">
        <v>341</v>
      </c>
      <c r="C89" s="70"/>
      <c r="D89" s="70"/>
      <c r="E89" s="70"/>
      <c r="F89" s="70"/>
      <c r="G89" s="70"/>
      <c r="H89" s="70"/>
      <c r="I89" s="70"/>
      <c r="J89" s="70"/>
      <c r="K89" s="70"/>
      <c r="L89" s="71"/>
      <c r="M89" s="72"/>
      <c r="N89" s="72"/>
      <c r="O89" s="72"/>
      <c r="P89" s="72"/>
      <c r="Q89" s="72"/>
      <c r="R89" s="72"/>
      <c r="S89" s="72"/>
      <c r="T89" s="72"/>
      <c r="U89" s="72"/>
      <c r="V89" s="72"/>
    </row>
    <row r="90" spans="1:22" s="73" customFormat="1" ht="13.5">
      <c r="A90" s="69" t="s">
        <v>342</v>
      </c>
      <c r="B90" s="345"/>
      <c r="C90" s="294"/>
      <c r="D90" s="140"/>
      <c r="E90" s="41"/>
      <c r="F90" s="141"/>
      <c r="G90" s="41"/>
      <c r="H90" s="41"/>
      <c r="I90" s="41"/>
      <c r="J90" s="41"/>
      <c r="K90" s="41"/>
      <c r="L90" s="71"/>
      <c r="M90" s="72"/>
      <c r="N90" s="72"/>
      <c r="O90" s="72"/>
      <c r="P90" s="72"/>
      <c r="Q90" s="72"/>
      <c r="R90" s="72"/>
      <c r="S90" s="72"/>
      <c r="T90" s="72"/>
      <c r="U90" s="72"/>
      <c r="V90" s="72"/>
    </row>
    <row r="91" spans="1:22" s="73" customFormat="1" ht="14.25">
      <c r="A91" s="79" t="s">
        <v>405</v>
      </c>
      <c r="B91" s="79"/>
      <c r="C91" s="79"/>
      <c r="D91" s="79"/>
      <c r="E91" s="79"/>
      <c r="F91" s="79"/>
      <c r="G91" s="79"/>
      <c r="H91" s="79"/>
      <c r="I91" s="79"/>
      <c r="J91" s="267"/>
      <c r="K91" s="267"/>
      <c r="L91" s="80"/>
      <c r="M91" s="72"/>
      <c r="N91" s="72"/>
      <c r="O91" s="72"/>
      <c r="P91" s="72"/>
      <c r="Q91" s="72"/>
      <c r="R91" s="72"/>
      <c r="S91" s="72"/>
      <c r="T91" s="72"/>
      <c r="U91" s="72"/>
      <c r="V91" s="72"/>
    </row>
    <row r="92" spans="1:12" ht="13.5">
      <c r="A92" s="34" t="s">
        <v>406</v>
      </c>
      <c r="B92" s="143" t="s">
        <v>407</v>
      </c>
      <c r="C92" s="143"/>
      <c r="D92" s="143"/>
      <c r="E92" s="143"/>
      <c r="F92" s="143"/>
      <c r="G92" s="143"/>
      <c r="H92" s="143"/>
      <c r="I92" s="143"/>
      <c r="J92" s="143"/>
      <c r="K92" s="143"/>
      <c r="L92" s="144"/>
    </row>
    <row r="93" spans="1:11" s="42" customFormat="1" ht="13.5">
      <c r="A93" s="37" t="s">
        <v>408</v>
      </c>
      <c r="B93" s="120">
        <v>9537</v>
      </c>
      <c r="C93" s="36" t="s">
        <v>700</v>
      </c>
      <c r="D93" s="40" t="s">
        <v>23</v>
      </c>
      <c r="E93" s="41">
        <f>E13</f>
        <v>26</v>
      </c>
      <c r="F93" s="41"/>
      <c r="G93" s="41"/>
      <c r="H93" s="41"/>
      <c r="I93" s="41"/>
      <c r="J93" s="41"/>
      <c r="K93" s="41"/>
    </row>
    <row r="94" spans="1:11" ht="14.25">
      <c r="A94" s="67" t="s">
        <v>424</v>
      </c>
      <c r="B94" s="67"/>
      <c r="C94" s="67"/>
      <c r="D94" s="67"/>
      <c r="E94" s="67"/>
      <c r="F94" s="67"/>
      <c r="G94" s="67"/>
      <c r="H94" s="67"/>
      <c r="I94" s="67"/>
      <c r="J94" s="267"/>
      <c r="K94" s="260"/>
    </row>
    <row r="95" spans="1:11" s="151" customFormat="1" ht="13.5">
      <c r="A95" s="148"/>
      <c r="B95" s="149"/>
      <c r="C95" s="150"/>
      <c r="D95" s="150"/>
      <c r="E95" s="150"/>
      <c r="F95" s="150"/>
      <c r="G95" s="150"/>
      <c r="H95" s="150"/>
      <c r="I95" s="150"/>
      <c r="J95" s="150"/>
      <c r="K95" s="150"/>
    </row>
    <row r="96" spans="1:11" s="154" customFormat="1" ht="15.75">
      <c r="A96" s="152" t="s">
        <v>425</v>
      </c>
      <c r="B96" s="152"/>
      <c r="C96" s="152"/>
      <c r="D96" s="152"/>
      <c r="E96" s="152"/>
      <c r="F96" s="152"/>
      <c r="G96" s="152"/>
      <c r="H96" s="152"/>
      <c r="I96" s="152"/>
      <c r="J96" s="153"/>
      <c r="K96" s="153"/>
    </row>
  </sheetData>
  <sheetProtection selectLockedCells="1" selectUnlockedCells="1"/>
  <mergeCells count="48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O9"/>
    <mergeCell ref="P9:T9"/>
    <mergeCell ref="B11:K11"/>
    <mergeCell ref="A14:I14"/>
    <mergeCell ref="B15:K15"/>
    <mergeCell ref="A19:I19"/>
    <mergeCell ref="B20:K20"/>
    <mergeCell ref="A29:I29"/>
    <mergeCell ref="B30:K30"/>
    <mergeCell ref="A43:I43"/>
    <mergeCell ref="B44:K44"/>
    <mergeCell ref="A46:I46"/>
    <mergeCell ref="B47:K47"/>
    <mergeCell ref="A49:I49"/>
    <mergeCell ref="B50:K50"/>
    <mergeCell ref="A54:I54"/>
    <mergeCell ref="B55:K55"/>
    <mergeCell ref="A61:I61"/>
    <mergeCell ref="B62:K62"/>
    <mergeCell ref="A64:I64"/>
    <mergeCell ref="B65:K65"/>
    <mergeCell ref="A67:I67"/>
    <mergeCell ref="B68:K68"/>
    <mergeCell ref="A70:I70"/>
    <mergeCell ref="B71:K71"/>
    <mergeCell ref="A74:I74"/>
    <mergeCell ref="B75:K75"/>
    <mergeCell ref="A80:I80"/>
    <mergeCell ref="B81:K81"/>
    <mergeCell ref="A83:I83"/>
    <mergeCell ref="B84:K84"/>
    <mergeCell ref="A88:I88"/>
    <mergeCell ref="B89:K89"/>
    <mergeCell ref="A91:I91"/>
    <mergeCell ref="B92:K92"/>
    <mergeCell ref="A94:I94"/>
    <mergeCell ref="C95:K95"/>
    <mergeCell ref="A96:I96"/>
  </mergeCells>
  <printOptions/>
  <pageMargins left="0.5118055555555555" right="0.5118055555555555" top="0.7875" bottom="0.7875" header="0.5118055555555555" footer="0.31527777777777777"/>
  <pageSetup fitToHeight="10" fitToWidth="1" horizontalDpi="300" verticalDpi="300" orientation="landscape" paperSize="77"/>
  <headerFooter alignWithMargins="0">
    <oddFooter>&amp;L&amp;"Calibri,Regular"&amp;11ESTACIONAMENTO&amp;C&amp;"Calibri,Regular"&amp;11Página 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0" zoomScaleNormal="70" workbookViewId="0" topLeftCell="A31">
      <pane ySplit="65535" topLeftCell="A31" activePane="topLeft" state="split"/>
      <selection pane="topLeft" activeCell="J19" sqref="J19"/>
      <selection pane="bottomLeft" activeCell="A31" sqref="A31"/>
    </sheetView>
  </sheetViews>
  <sheetFormatPr defaultColWidth="10.28125" defaultRowHeight="12.75"/>
  <cols>
    <col min="1" max="1" width="10.57421875" style="349" customWidth="1"/>
    <col min="2" max="2" width="66.00390625" style="349" customWidth="1"/>
    <col min="3" max="3" width="20.28125" style="350" customWidth="1"/>
    <col min="4" max="4" width="20.28125" style="351" customWidth="1"/>
    <col min="5" max="8" width="18.421875" style="351" customWidth="1"/>
    <col min="9" max="10" width="19.00390625" style="351" customWidth="1"/>
    <col min="11" max="11" width="18.421875" style="351" customWidth="1"/>
    <col min="12" max="12" width="28.8515625" style="351" customWidth="1"/>
    <col min="13" max="13" width="10.8515625" style="351" customWidth="1"/>
    <col min="14" max="16384" width="10.140625" style="352" customWidth="1"/>
  </cols>
  <sheetData>
    <row r="1" spans="1:12" s="354" customFormat="1" ht="22.5">
      <c r="A1" s="353" t="s">
        <v>909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s="354" customFormat="1" ht="22.5">
      <c r="A2" s="353"/>
      <c r="B2" s="353"/>
      <c r="C2" s="355" t="s">
        <v>910</v>
      </c>
      <c r="D2" s="355"/>
      <c r="E2" s="355"/>
      <c r="F2" s="355"/>
      <c r="G2" s="355"/>
      <c r="H2" s="355"/>
      <c r="I2" s="355"/>
      <c r="J2" s="356"/>
      <c r="K2" s="353"/>
      <c r="L2" s="353"/>
    </row>
    <row r="3" spans="1:12" s="354" customFormat="1" ht="22.5">
      <c r="A3" s="353"/>
      <c r="B3" s="353"/>
      <c r="C3" s="357" t="s">
        <v>911</v>
      </c>
      <c r="D3" s="357"/>
      <c r="E3" s="353"/>
      <c r="F3" s="353"/>
      <c r="G3" s="353"/>
      <c r="H3" s="353"/>
      <c r="I3" s="353"/>
      <c r="J3" s="353"/>
      <c r="K3" s="353"/>
      <c r="L3" s="353"/>
    </row>
    <row r="4" spans="1:12" s="354" customFormat="1" ht="22.5">
      <c r="A4" s="353"/>
      <c r="B4" s="353"/>
      <c r="C4" s="357" t="s">
        <v>912</v>
      </c>
      <c r="D4" s="357"/>
      <c r="E4" s="353"/>
      <c r="F4" s="353"/>
      <c r="G4" s="353"/>
      <c r="H4" s="353"/>
      <c r="I4" s="353"/>
      <c r="J4" s="353"/>
      <c r="K4" s="353"/>
      <c r="L4" s="353"/>
    </row>
    <row r="5" spans="1:12" s="354" customFormat="1" ht="22.5">
      <c r="A5" s="353"/>
      <c r="B5" s="353"/>
      <c r="C5" s="355" t="s">
        <v>703</v>
      </c>
      <c r="D5" s="355"/>
      <c r="E5" s="353"/>
      <c r="F5" s="353"/>
      <c r="G5" s="353"/>
      <c r="H5" s="353"/>
      <c r="I5" s="353"/>
      <c r="J5" s="353"/>
      <c r="K5" s="353"/>
      <c r="L5" s="353"/>
    </row>
    <row r="6" spans="1:12" s="354" customFormat="1" ht="22.5">
      <c r="A6" s="353"/>
      <c r="B6" s="353"/>
      <c r="C6" s="358" t="s">
        <v>913</v>
      </c>
      <c r="D6" s="358"/>
      <c r="E6" s="353"/>
      <c r="F6" s="353"/>
      <c r="G6" s="353"/>
      <c r="H6" s="353"/>
      <c r="I6" s="353"/>
      <c r="J6" s="353"/>
      <c r="K6" s="353"/>
      <c r="L6" s="353"/>
    </row>
    <row r="7" spans="1:12" s="363" customFormat="1" ht="15.75" customHeight="1">
      <c r="A7" s="359" t="s">
        <v>6</v>
      </c>
      <c r="B7" s="360" t="s">
        <v>8</v>
      </c>
      <c r="C7" s="361" t="s">
        <v>914</v>
      </c>
      <c r="D7" s="361"/>
      <c r="E7" s="361"/>
      <c r="F7" s="361"/>
      <c r="G7" s="361"/>
      <c r="H7" s="361"/>
      <c r="I7" s="361"/>
      <c r="J7" s="361"/>
      <c r="K7" s="361"/>
      <c r="L7" s="362" t="s">
        <v>13</v>
      </c>
    </row>
    <row r="8" spans="1:12" s="363" customFormat="1" ht="15.75">
      <c r="A8" s="359"/>
      <c r="B8" s="360"/>
      <c r="C8" s="364" t="s">
        <v>915</v>
      </c>
      <c r="D8" s="364" t="s">
        <v>916</v>
      </c>
      <c r="E8" s="364" t="s">
        <v>917</v>
      </c>
      <c r="F8" s="364" t="s">
        <v>918</v>
      </c>
      <c r="G8" s="364" t="s">
        <v>919</v>
      </c>
      <c r="H8" s="364" t="s">
        <v>920</v>
      </c>
      <c r="I8" s="364" t="s">
        <v>921</v>
      </c>
      <c r="J8" s="364" t="s">
        <v>922</v>
      </c>
      <c r="K8" s="364" t="s">
        <v>923</v>
      </c>
      <c r="L8" s="362"/>
    </row>
    <row r="9" spans="1:12" s="370" customFormat="1" ht="15.75" customHeight="1">
      <c r="A9" s="365">
        <v>1</v>
      </c>
      <c r="B9" s="366" t="s">
        <v>19</v>
      </c>
      <c r="C9" s="367">
        <v>0.404</v>
      </c>
      <c r="D9" s="367">
        <v>0.215</v>
      </c>
      <c r="E9" s="367">
        <v>0.20670000000000002</v>
      </c>
      <c r="F9" s="367">
        <v>0.10310000000000001</v>
      </c>
      <c r="G9" s="367">
        <v>0.0712</v>
      </c>
      <c r="H9" s="368"/>
      <c r="I9" s="368"/>
      <c r="J9" s="368"/>
      <c r="K9" s="368"/>
      <c r="L9" s="369">
        <f>SUM(C9:K9)</f>
        <v>1</v>
      </c>
    </row>
    <row r="10" spans="1:13" s="375" customFormat="1" ht="15.75">
      <c r="A10" s="365"/>
      <c r="B10" s="366"/>
      <c r="C10" s="371"/>
      <c r="D10" s="371"/>
      <c r="E10" s="371"/>
      <c r="F10" s="371"/>
      <c r="G10" s="371"/>
      <c r="H10" s="372"/>
      <c r="I10" s="372"/>
      <c r="J10" s="372"/>
      <c r="K10" s="372"/>
      <c r="L10" s="373"/>
      <c r="M10" s="374"/>
    </row>
    <row r="11" spans="1:12" s="375" customFormat="1" ht="15.75" customHeight="1">
      <c r="A11" s="365">
        <v>2</v>
      </c>
      <c r="B11" s="366" t="s">
        <v>924</v>
      </c>
      <c r="C11" s="367">
        <v>0.2755</v>
      </c>
      <c r="D11" s="367">
        <v>0.48350000000000004</v>
      </c>
      <c r="E11" s="367">
        <v>0.1408</v>
      </c>
      <c r="F11" s="367">
        <v>0.059399999999999994</v>
      </c>
      <c r="G11" s="367">
        <v>0.0408</v>
      </c>
      <c r="H11" s="368"/>
      <c r="I11" s="368"/>
      <c r="J11" s="368"/>
      <c r="K11" s="368"/>
      <c r="L11" s="369">
        <f>SUM(C11:K11)</f>
        <v>1.0000000000000002</v>
      </c>
    </row>
    <row r="12" spans="1:13" s="375" customFormat="1" ht="15.75">
      <c r="A12" s="365"/>
      <c r="B12" s="366"/>
      <c r="C12" s="371"/>
      <c r="D12" s="371"/>
      <c r="E12" s="371"/>
      <c r="F12" s="371"/>
      <c r="G12" s="371"/>
      <c r="H12" s="372"/>
      <c r="I12" s="372"/>
      <c r="J12" s="372"/>
      <c r="K12" s="372"/>
      <c r="L12" s="373"/>
      <c r="M12" s="374"/>
    </row>
    <row r="13" spans="1:12" s="375" customFormat="1" ht="15.75" customHeight="1">
      <c r="A13" s="365">
        <v>3</v>
      </c>
      <c r="B13" s="366" t="s">
        <v>82</v>
      </c>
      <c r="C13" s="367">
        <v>0.21830000000000002</v>
      </c>
      <c r="D13" s="367">
        <v>0.4379</v>
      </c>
      <c r="E13" s="367">
        <v>0.21050000000000002</v>
      </c>
      <c r="F13" s="367">
        <v>0.0535</v>
      </c>
      <c r="G13" s="367">
        <v>0.041600000000000005</v>
      </c>
      <c r="H13" s="367">
        <v>0.0382</v>
      </c>
      <c r="I13" s="368"/>
      <c r="J13" s="368"/>
      <c r="K13" s="368"/>
      <c r="L13" s="369">
        <f>SUM(C13:K13)</f>
        <v>1</v>
      </c>
    </row>
    <row r="14" spans="1:13" s="375" customFormat="1" ht="15.75">
      <c r="A14" s="365"/>
      <c r="B14" s="366"/>
      <c r="C14" s="371"/>
      <c r="D14" s="371"/>
      <c r="E14" s="371"/>
      <c r="F14" s="371"/>
      <c r="G14" s="371"/>
      <c r="H14" s="371"/>
      <c r="I14" s="372"/>
      <c r="J14" s="372"/>
      <c r="K14" s="372"/>
      <c r="L14" s="373"/>
      <c r="M14" s="374"/>
    </row>
    <row r="15" spans="1:12" s="370" customFormat="1" ht="15.75" customHeight="1">
      <c r="A15" s="365">
        <v>4</v>
      </c>
      <c r="B15" s="376" t="s">
        <v>95</v>
      </c>
      <c r="C15" s="368"/>
      <c r="D15" s="367">
        <v>0.13820000000000002</v>
      </c>
      <c r="E15" s="367">
        <v>0.4264</v>
      </c>
      <c r="F15" s="367">
        <v>0.2147</v>
      </c>
      <c r="G15" s="367">
        <v>0.131</v>
      </c>
      <c r="H15" s="367">
        <v>0.0686</v>
      </c>
      <c r="I15" s="367">
        <v>0.021100000000000004</v>
      </c>
      <c r="J15" s="368"/>
      <c r="K15" s="368"/>
      <c r="L15" s="369">
        <f>SUM(C15:K15)</f>
        <v>1</v>
      </c>
    </row>
    <row r="16" spans="1:13" s="375" customFormat="1" ht="15.75">
      <c r="A16" s="365"/>
      <c r="B16" s="376"/>
      <c r="C16" s="372"/>
      <c r="D16" s="371"/>
      <c r="E16" s="371"/>
      <c r="F16" s="371"/>
      <c r="G16" s="371"/>
      <c r="H16" s="371"/>
      <c r="I16" s="371"/>
      <c r="J16" s="372"/>
      <c r="K16" s="372"/>
      <c r="L16" s="373"/>
      <c r="M16" s="374"/>
    </row>
    <row r="17" spans="1:12" s="375" customFormat="1" ht="15.75" customHeight="1">
      <c r="A17" s="365">
        <v>5</v>
      </c>
      <c r="B17" s="366" t="s">
        <v>108</v>
      </c>
      <c r="C17" s="368"/>
      <c r="D17" s="367">
        <v>0.0321</v>
      </c>
      <c r="E17" s="367">
        <v>0.1888</v>
      </c>
      <c r="F17" s="367">
        <v>0.2796</v>
      </c>
      <c r="G17" s="367">
        <v>0.2679000000000001</v>
      </c>
      <c r="H17" s="367">
        <v>0.10400000000000001</v>
      </c>
      <c r="I17" s="367">
        <v>0.0926</v>
      </c>
      <c r="J17" s="367">
        <v>0.035</v>
      </c>
      <c r="K17" s="368"/>
      <c r="L17" s="369">
        <f>SUM(C17:K17)</f>
        <v>1.0000000000000002</v>
      </c>
    </row>
    <row r="18" spans="1:13" s="375" customFormat="1" ht="15.75">
      <c r="A18" s="365"/>
      <c r="B18" s="366"/>
      <c r="C18" s="372"/>
      <c r="D18" s="371"/>
      <c r="E18" s="371"/>
      <c r="F18" s="371"/>
      <c r="G18" s="371"/>
      <c r="H18" s="371"/>
      <c r="I18" s="371"/>
      <c r="J18" s="371"/>
      <c r="K18" s="372"/>
      <c r="L18" s="373"/>
      <c r="M18" s="374"/>
    </row>
    <row r="19" spans="1:12" s="370" customFormat="1" ht="15.75" customHeight="1">
      <c r="A19" s="365">
        <v>6</v>
      </c>
      <c r="B19" s="376" t="s">
        <v>121</v>
      </c>
      <c r="C19" s="368"/>
      <c r="D19" s="368"/>
      <c r="E19" s="368"/>
      <c r="F19" s="367">
        <v>0.0732</v>
      </c>
      <c r="G19" s="367">
        <v>0.1899</v>
      </c>
      <c r="H19" s="367">
        <v>0.262</v>
      </c>
      <c r="I19" s="367">
        <v>0.22</v>
      </c>
      <c r="J19" s="367">
        <v>0.14</v>
      </c>
      <c r="K19" s="367">
        <v>0.1149</v>
      </c>
      <c r="L19" s="369">
        <f>SUM(C19:K19)</f>
        <v>1</v>
      </c>
    </row>
    <row r="20" spans="1:13" s="375" customFormat="1" ht="15.75">
      <c r="A20" s="365"/>
      <c r="B20" s="376"/>
      <c r="C20" s="372"/>
      <c r="D20" s="372"/>
      <c r="E20" s="372"/>
      <c r="F20" s="371"/>
      <c r="G20" s="371"/>
      <c r="H20" s="371"/>
      <c r="I20" s="371"/>
      <c r="J20" s="371"/>
      <c r="K20" s="371"/>
      <c r="L20" s="373"/>
      <c r="M20" s="374"/>
    </row>
    <row r="21" spans="1:12" s="370" customFormat="1" ht="15.75" customHeight="1">
      <c r="A21" s="365">
        <v>7</v>
      </c>
      <c r="B21" s="366" t="s">
        <v>134</v>
      </c>
      <c r="C21" s="368"/>
      <c r="D21" s="368"/>
      <c r="E21" s="368"/>
      <c r="F21" s="367">
        <v>0.0724</v>
      </c>
      <c r="G21" s="367">
        <v>0.2545</v>
      </c>
      <c r="H21" s="367">
        <v>0.4157</v>
      </c>
      <c r="I21" s="367">
        <v>0.1655</v>
      </c>
      <c r="J21" s="367">
        <v>0.09</v>
      </c>
      <c r="K21" s="367">
        <v>0.0019</v>
      </c>
      <c r="L21" s="369">
        <f>SUM(C21:K21)</f>
        <v>1</v>
      </c>
    </row>
    <row r="22" spans="1:13" s="375" customFormat="1" ht="15.75">
      <c r="A22" s="365"/>
      <c r="B22" s="366"/>
      <c r="C22" s="372"/>
      <c r="D22" s="372"/>
      <c r="E22" s="372"/>
      <c r="F22" s="371"/>
      <c r="G22" s="371"/>
      <c r="H22" s="371"/>
      <c r="I22" s="371"/>
      <c r="J22" s="371"/>
      <c r="K22" s="371"/>
      <c r="L22" s="373"/>
      <c r="M22" s="374"/>
    </row>
    <row r="23" spans="1:12" s="370" customFormat="1" ht="15.75" customHeight="1">
      <c r="A23" s="365">
        <v>8</v>
      </c>
      <c r="B23" s="366" t="s">
        <v>147</v>
      </c>
      <c r="C23" s="368"/>
      <c r="D23" s="368"/>
      <c r="E23" s="368"/>
      <c r="F23" s="367">
        <v>0.0533</v>
      </c>
      <c r="G23" s="367">
        <v>0.0771</v>
      </c>
      <c r="H23" s="367">
        <v>0.18630000000000002</v>
      </c>
      <c r="I23" s="367">
        <v>0.3179</v>
      </c>
      <c r="J23" s="367">
        <v>0.30000000000000004</v>
      </c>
      <c r="K23" s="367">
        <v>0.0654</v>
      </c>
      <c r="L23" s="369">
        <f>SUM(C23:K23)</f>
        <v>1</v>
      </c>
    </row>
    <row r="24" spans="1:13" s="375" customFormat="1" ht="15.75">
      <c r="A24" s="365"/>
      <c r="B24" s="366"/>
      <c r="C24" s="372"/>
      <c r="D24" s="372"/>
      <c r="E24" s="372"/>
      <c r="F24" s="371"/>
      <c r="G24" s="371"/>
      <c r="H24" s="371"/>
      <c r="I24" s="371"/>
      <c r="J24" s="371"/>
      <c r="K24" s="371"/>
      <c r="L24" s="373"/>
      <c r="M24" s="374"/>
    </row>
    <row r="25" spans="1:12" s="370" customFormat="1" ht="15.75" customHeight="1">
      <c r="A25" s="365">
        <v>9</v>
      </c>
      <c r="B25" s="366" t="s">
        <v>925</v>
      </c>
      <c r="C25" s="368"/>
      <c r="D25" s="368"/>
      <c r="E25" s="368"/>
      <c r="F25" s="367">
        <v>0.0756</v>
      </c>
      <c r="G25" s="367">
        <v>0.12890000000000001</v>
      </c>
      <c r="H25" s="367">
        <v>0.25370000000000004</v>
      </c>
      <c r="I25" s="367">
        <v>0.3125</v>
      </c>
      <c r="J25" s="367">
        <v>0.21</v>
      </c>
      <c r="K25" s="367">
        <v>0.0193</v>
      </c>
      <c r="L25" s="369">
        <f>SUM(C25:K25)</f>
        <v>1</v>
      </c>
    </row>
    <row r="26" spans="1:13" s="375" customFormat="1" ht="15.75">
      <c r="A26" s="365"/>
      <c r="B26" s="366"/>
      <c r="C26" s="372"/>
      <c r="D26" s="372"/>
      <c r="E26" s="372"/>
      <c r="F26" s="371"/>
      <c r="G26" s="371"/>
      <c r="H26" s="371"/>
      <c r="I26" s="371"/>
      <c r="J26" s="371"/>
      <c r="K26" s="371"/>
      <c r="L26" s="373"/>
      <c r="M26" s="374"/>
    </row>
    <row r="27" spans="1:12" s="370" customFormat="1" ht="15.75" customHeight="1">
      <c r="A27" s="365">
        <v>10</v>
      </c>
      <c r="B27" s="366" t="s">
        <v>173</v>
      </c>
      <c r="C27" s="368"/>
      <c r="D27" s="367">
        <v>0.0278</v>
      </c>
      <c r="E27" s="367">
        <v>0.0925</v>
      </c>
      <c r="F27" s="367">
        <v>0.29810000000000003</v>
      </c>
      <c r="G27" s="367">
        <v>0.3326</v>
      </c>
      <c r="H27" s="367">
        <v>0.0813</v>
      </c>
      <c r="I27" s="367">
        <v>0.0643</v>
      </c>
      <c r="J27" s="367">
        <v>0.05</v>
      </c>
      <c r="K27" s="367">
        <v>0.0534</v>
      </c>
      <c r="L27" s="369">
        <f>SUM(C27:K27)</f>
        <v>1.0000000000000002</v>
      </c>
    </row>
    <row r="28" spans="1:13" s="375" customFormat="1" ht="15.75">
      <c r="A28" s="365"/>
      <c r="B28" s="366"/>
      <c r="C28" s="372"/>
      <c r="D28" s="371"/>
      <c r="E28" s="371"/>
      <c r="F28" s="371"/>
      <c r="G28" s="371"/>
      <c r="H28" s="371"/>
      <c r="I28" s="371"/>
      <c r="J28" s="371"/>
      <c r="K28" s="371"/>
      <c r="L28" s="373"/>
      <c r="M28" s="374"/>
    </row>
    <row r="29" spans="1:12" s="370" customFormat="1" ht="15.75" customHeight="1">
      <c r="A29" s="365">
        <v>11</v>
      </c>
      <c r="B29" s="366" t="s">
        <v>274</v>
      </c>
      <c r="C29" s="368"/>
      <c r="D29" s="368"/>
      <c r="E29" s="368"/>
      <c r="F29" s="367">
        <v>0.2679000000000001</v>
      </c>
      <c r="G29" s="367">
        <v>0.2796</v>
      </c>
      <c r="H29" s="367">
        <v>0.19210000000000002</v>
      </c>
      <c r="I29" s="367">
        <v>0.1888</v>
      </c>
      <c r="J29" s="367">
        <v>0.0579</v>
      </c>
      <c r="K29" s="367">
        <v>0.013700000000000002</v>
      </c>
      <c r="L29" s="369">
        <f>SUM(C29:K29)</f>
        <v>1</v>
      </c>
    </row>
    <row r="30" spans="1:13" s="375" customFormat="1" ht="15.75">
      <c r="A30" s="365"/>
      <c r="B30" s="366"/>
      <c r="C30" s="372"/>
      <c r="D30" s="372"/>
      <c r="E30" s="372"/>
      <c r="F30" s="371"/>
      <c r="G30" s="371"/>
      <c r="H30" s="371"/>
      <c r="I30" s="371"/>
      <c r="J30" s="371"/>
      <c r="K30" s="371"/>
      <c r="L30" s="373"/>
      <c r="M30" s="374"/>
    </row>
    <row r="31" spans="1:12" s="370" customFormat="1" ht="15.75" customHeight="1">
      <c r="A31" s="365">
        <v>12</v>
      </c>
      <c r="B31" s="366" t="s">
        <v>287</v>
      </c>
      <c r="C31" s="368"/>
      <c r="D31" s="368"/>
      <c r="E31" s="368"/>
      <c r="F31" s="368"/>
      <c r="G31" s="367">
        <v>0.1</v>
      </c>
      <c r="H31" s="367">
        <v>0.4</v>
      </c>
      <c r="I31" s="367">
        <v>0.25</v>
      </c>
      <c r="J31" s="367">
        <v>0.15</v>
      </c>
      <c r="K31" s="367">
        <v>0.1</v>
      </c>
      <c r="L31" s="369">
        <f>SUM(C31:K31)</f>
        <v>1</v>
      </c>
    </row>
    <row r="32" spans="1:13" s="375" customFormat="1" ht="15.75">
      <c r="A32" s="365"/>
      <c r="B32" s="366"/>
      <c r="C32" s="372"/>
      <c r="D32" s="372"/>
      <c r="E32" s="372"/>
      <c r="F32" s="372"/>
      <c r="G32" s="371"/>
      <c r="H32" s="371"/>
      <c r="I32" s="371"/>
      <c r="J32" s="371"/>
      <c r="K32" s="371"/>
      <c r="L32" s="373"/>
      <c r="M32" s="374"/>
    </row>
    <row r="33" spans="1:12" s="370" customFormat="1" ht="15.75" customHeight="1">
      <c r="A33" s="365">
        <v>13</v>
      </c>
      <c r="B33" s="376" t="s">
        <v>300</v>
      </c>
      <c r="C33" s="368"/>
      <c r="D33" s="368"/>
      <c r="E33" s="367">
        <v>0.009000000000000001</v>
      </c>
      <c r="F33" s="367">
        <v>0.155</v>
      </c>
      <c r="G33" s="367">
        <v>0.16970000000000002</v>
      </c>
      <c r="H33" s="367">
        <v>0.1809</v>
      </c>
      <c r="I33" s="367">
        <v>0.2</v>
      </c>
      <c r="J33" s="367">
        <v>0.1877</v>
      </c>
      <c r="K33" s="367">
        <v>0.0977</v>
      </c>
      <c r="L33" s="369">
        <f>SUM(C33:K33)</f>
        <v>1</v>
      </c>
    </row>
    <row r="34" spans="1:13" s="375" customFormat="1" ht="15.75">
      <c r="A34" s="365"/>
      <c r="B34" s="376"/>
      <c r="C34" s="372"/>
      <c r="D34" s="372"/>
      <c r="E34" s="371"/>
      <c r="F34" s="371"/>
      <c r="G34" s="371"/>
      <c r="H34" s="371"/>
      <c r="I34" s="371"/>
      <c r="J34" s="371"/>
      <c r="K34" s="371"/>
      <c r="L34" s="373"/>
      <c r="M34" s="374"/>
    </row>
    <row r="35" spans="1:12" s="370" customFormat="1" ht="15.75" customHeight="1">
      <c r="A35" s="365">
        <v>14</v>
      </c>
      <c r="B35" s="366" t="s">
        <v>315</v>
      </c>
      <c r="C35" s="368"/>
      <c r="D35" s="368"/>
      <c r="E35" s="368"/>
      <c r="F35" s="368"/>
      <c r="G35" s="368"/>
      <c r="H35" s="367">
        <v>0.12510000000000002</v>
      </c>
      <c r="I35" s="367">
        <v>0.2810000000000001</v>
      </c>
      <c r="J35" s="367">
        <v>0.4</v>
      </c>
      <c r="K35" s="367">
        <v>0.19390000000000002</v>
      </c>
      <c r="L35" s="369">
        <f>SUM(C35:K35)</f>
        <v>1</v>
      </c>
    </row>
    <row r="36" spans="1:13" s="375" customFormat="1" ht="15.75">
      <c r="A36" s="365"/>
      <c r="B36" s="366"/>
      <c r="C36" s="372"/>
      <c r="D36" s="372"/>
      <c r="E36" s="372"/>
      <c r="F36" s="372"/>
      <c r="G36" s="372"/>
      <c r="H36" s="371"/>
      <c r="I36" s="371"/>
      <c r="J36" s="371"/>
      <c r="K36" s="371"/>
      <c r="L36" s="373"/>
      <c r="M36" s="374"/>
    </row>
    <row r="37" spans="1:12" s="370" customFormat="1" ht="15.75" customHeight="1">
      <c r="A37" s="365">
        <v>15</v>
      </c>
      <c r="B37" s="366" t="s">
        <v>328</v>
      </c>
      <c r="C37" s="368"/>
      <c r="D37" s="368"/>
      <c r="E37" s="368"/>
      <c r="F37" s="368"/>
      <c r="G37" s="367">
        <v>0.0341</v>
      </c>
      <c r="H37" s="367">
        <v>0.0723</v>
      </c>
      <c r="I37" s="367">
        <v>0.32080000000000003</v>
      </c>
      <c r="J37" s="367">
        <v>0.32280000000000003</v>
      </c>
      <c r="K37" s="367">
        <v>0.25</v>
      </c>
      <c r="L37" s="369">
        <f>SUM(C37:K37)</f>
        <v>1</v>
      </c>
    </row>
    <row r="38" spans="1:13" s="375" customFormat="1" ht="15.75">
      <c r="A38" s="365"/>
      <c r="B38" s="366"/>
      <c r="C38" s="372"/>
      <c r="D38" s="372"/>
      <c r="E38" s="372"/>
      <c r="F38" s="372"/>
      <c r="G38" s="371"/>
      <c r="H38" s="371"/>
      <c r="I38" s="371"/>
      <c r="J38" s="371"/>
      <c r="K38" s="371"/>
      <c r="L38" s="373"/>
      <c r="M38" s="374"/>
    </row>
    <row r="39" spans="1:12" s="375" customFormat="1" ht="15.75" customHeight="1">
      <c r="A39" s="365">
        <v>16</v>
      </c>
      <c r="B39" s="366" t="s">
        <v>341</v>
      </c>
      <c r="C39" s="368"/>
      <c r="D39" s="368"/>
      <c r="E39" s="368"/>
      <c r="F39" s="367">
        <v>0.0214</v>
      </c>
      <c r="G39" s="367">
        <v>0.35</v>
      </c>
      <c r="H39" s="367">
        <v>0.38060000000000005</v>
      </c>
      <c r="I39" s="367">
        <v>0.14800000000000002</v>
      </c>
      <c r="J39" s="367">
        <v>0.0558</v>
      </c>
      <c r="K39" s="367">
        <v>0.0442</v>
      </c>
      <c r="L39" s="369">
        <f>SUM(C39:K39)</f>
        <v>1</v>
      </c>
    </row>
    <row r="40" spans="1:13" s="375" customFormat="1" ht="15.75">
      <c r="A40" s="365"/>
      <c r="B40" s="366"/>
      <c r="C40" s="372"/>
      <c r="D40" s="372"/>
      <c r="E40" s="372"/>
      <c r="F40" s="371"/>
      <c r="G40" s="371"/>
      <c r="H40" s="371"/>
      <c r="I40" s="371"/>
      <c r="J40" s="371"/>
      <c r="K40" s="371"/>
      <c r="L40" s="373"/>
      <c r="M40" s="374"/>
    </row>
    <row r="41" spans="1:12" s="370" customFormat="1" ht="15.75" customHeight="1">
      <c r="A41" s="365">
        <v>17</v>
      </c>
      <c r="B41" s="366" t="s">
        <v>407</v>
      </c>
      <c r="C41" s="368"/>
      <c r="D41" s="368"/>
      <c r="E41" s="368"/>
      <c r="F41" s="368"/>
      <c r="G41" s="368"/>
      <c r="H41" s="368"/>
      <c r="I41" s="368"/>
      <c r="J41" s="368"/>
      <c r="K41" s="367">
        <v>1</v>
      </c>
      <c r="L41" s="369">
        <f>SUM(C41:K41)</f>
        <v>1</v>
      </c>
    </row>
    <row r="42" spans="1:13" s="375" customFormat="1" ht="15.75">
      <c r="A42" s="365"/>
      <c r="B42" s="366"/>
      <c r="C42" s="372"/>
      <c r="D42" s="372"/>
      <c r="E42" s="372"/>
      <c r="F42" s="372"/>
      <c r="G42" s="372"/>
      <c r="H42" s="372"/>
      <c r="I42" s="372"/>
      <c r="J42" s="372"/>
      <c r="K42" s="371"/>
      <c r="L42" s="377"/>
      <c r="M42" s="374"/>
    </row>
    <row r="43" spans="1:12" s="352" customFormat="1" ht="15.75" customHeight="1">
      <c r="A43" s="359"/>
      <c r="B43" s="378" t="s">
        <v>13</v>
      </c>
      <c r="C43" s="379">
        <v>0.0446</v>
      </c>
      <c r="D43" s="379">
        <v>0.09640000000000001</v>
      </c>
      <c r="E43" s="379">
        <v>0.10210000000000001</v>
      </c>
      <c r="F43" s="379">
        <v>0.1202</v>
      </c>
      <c r="G43" s="379">
        <v>0.1799</v>
      </c>
      <c r="H43" s="379">
        <v>0.1656</v>
      </c>
      <c r="I43" s="379">
        <v>0.1313</v>
      </c>
      <c r="J43" s="379">
        <v>0.09789999999999999</v>
      </c>
      <c r="K43" s="379">
        <v>0.062000000000000006</v>
      </c>
      <c r="L43" s="380">
        <f>SUM(C43:K43)</f>
        <v>1</v>
      </c>
    </row>
    <row r="44" spans="1:13" ht="15.75">
      <c r="A44" s="359"/>
      <c r="B44" s="378"/>
      <c r="C44" s="381"/>
      <c r="D44" s="381"/>
      <c r="E44" s="381"/>
      <c r="F44" s="381"/>
      <c r="G44" s="381"/>
      <c r="H44" s="381"/>
      <c r="I44" s="381"/>
      <c r="J44" s="381"/>
      <c r="K44" s="381"/>
      <c r="L44" s="382"/>
      <c r="M44" s="383"/>
    </row>
    <row r="46" spans="2:11" ht="15.75">
      <c r="B46" s="384" t="s">
        <v>926</v>
      </c>
      <c r="C46" s="385">
        <v>0.0446</v>
      </c>
      <c r="D46" s="385">
        <v>0.14100000000000001</v>
      </c>
      <c r="E46" s="385">
        <v>0.2431</v>
      </c>
      <c r="F46" s="385">
        <v>0.3633</v>
      </c>
      <c r="G46" s="385">
        <v>0.5432</v>
      </c>
      <c r="H46" s="385">
        <v>0.7088000000000001</v>
      </c>
      <c r="I46" s="385">
        <v>0.8400999999999998</v>
      </c>
      <c r="J46" s="385">
        <v>0.9380000000000001</v>
      </c>
      <c r="K46" s="385">
        <v>1</v>
      </c>
    </row>
  </sheetData>
  <sheetProtection selectLockedCells="1" selectUnlockedCells="1"/>
  <mergeCells count="45">
    <mergeCell ref="A1:L1"/>
    <mergeCell ref="C2:I2"/>
    <mergeCell ref="C3:D3"/>
    <mergeCell ref="C4:D4"/>
    <mergeCell ref="C5:D5"/>
    <mergeCell ref="A7:A8"/>
    <mergeCell ref="B7:B8"/>
    <mergeCell ref="C7:K7"/>
    <mergeCell ref="L7:L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</mergeCells>
  <conditionalFormatting sqref="D75:J75 L9 L15 L19 L21 L23 L25 L27 L29 L31 L33 L35 L37 L41">
    <cfRule type="cellIs" priority="1" dxfId="0" operator="notEqual" stopIfTrue="1">
      <formula>0</formula>
    </cfRule>
  </conditionalFormatting>
  <conditionalFormatting sqref="L11">
    <cfRule type="cellIs" priority="2" dxfId="0" operator="notEqual" stopIfTrue="1">
      <formula>0</formula>
    </cfRule>
  </conditionalFormatting>
  <conditionalFormatting sqref="L13">
    <cfRule type="cellIs" priority="3" dxfId="0" operator="notEqual" stopIfTrue="1">
      <formula>0</formula>
    </cfRule>
  </conditionalFormatting>
  <conditionalFormatting sqref="L17">
    <cfRule type="cellIs" priority="4" dxfId="0" operator="notEqual" stopIfTrue="1">
      <formula>0</formula>
    </cfRule>
  </conditionalFormatting>
  <conditionalFormatting sqref="L39">
    <cfRule type="cellIs" priority="5" dxfId="0" operator="notEqual" stopIfTrue="1">
      <formula>0</formula>
    </cfRule>
  </conditionalFormatting>
  <printOptions horizontalCentered="1" verticalCentered="1"/>
  <pageMargins left="0.5118055555555555" right="0.5118055555555555" top="0.7875" bottom="0.7875" header="0.5118055555555555" footer="0.31527777777777777"/>
  <pageSetup fitToHeight="1" fitToWidth="1" horizontalDpi="300" verticalDpi="300" orientation="landscape" paperSize="77"/>
  <headerFooter alignWithMargins="0">
    <oddFooter>&amp;L&amp;"Calibri,Regular"&amp;11CRONOGRAMA&amp;C&amp;"Calibri,Regular"&amp;11Página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421875" style="2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0"/>
  <sheetViews>
    <sheetView zoomScale="90" zoomScaleNormal="9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0.28125" defaultRowHeight="12.75"/>
  <cols>
    <col min="1" max="1" width="7.8515625" style="155" customWidth="1"/>
    <col min="2" max="2" width="12.421875" style="155" customWidth="1"/>
    <col min="3" max="3" width="70.7109375" style="156" customWidth="1"/>
    <col min="4" max="4" width="10.140625" style="157" customWidth="1"/>
    <col min="5" max="5" width="11.8515625" style="158" customWidth="1"/>
    <col min="6" max="9" width="17.28125" style="156" customWidth="1"/>
    <col min="10" max="11" width="14.421875" style="156" customWidth="1"/>
    <col min="12" max="12" width="10.421875" style="156" customWidth="1"/>
    <col min="13" max="13" width="10.140625" style="156" customWidth="1"/>
    <col min="14" max="14" width="13.8515625" style="156" customWidth="1"/>
    <col min="15" max="15" width="12.00390625" style="156" customWidth="1"/>
    <col min="16" max="18" width="10.140625" style="156" customWidth="1"/>
    <col min="19" max="19" width="14.140625" style="156" customWidth="1"/>
    <col min="20" max="16384" width="10.140625" style="156" customWidth="1"/>
  </cols>
  <sheetData>
    <row r="1" spans="1:11" ht="18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4:8" ht="14.25">
      <c r="D2" s="160"/>
      <c r="E2" s="161"/>
      <c r="F2" s="157"/>
      <c r="G2" s="157"/>
      <c r="H2" s="157"/>
    </row>
    <row r="3" spans="4:11" ht="18">
      <c r="D3" s="162" t="s">
        <v>426</v>
      </c>
      <c r="E3" s="163"/>
      <c r="F3" s="163"/>
      <c r="G3" s="163"/>
      <c r="H3" s="164"/>
      <c r="J3" s="165"/>
      <c r="K3" s="166"/>
    </row>
    <row r="4" spans="4:11" ht="14.25">
      <c r="D4" s="167" t="s">
        <v>2</v>
      </c>
      <c r="E4" s="15"/>
      <c r="F4" s="168"/>
      <c r="G4" s="168"/>
      <c r="H4" s="169"/>
      <c r="J4" s="170"/>
      <c r="K4" s="166"/>
    </row>
    <row r="5" spans="4:11" ht="14.25">
      <c r="D5" s="19" t="s">
        <v>427</v>
      </c>
      <c r="E5" s="19"/>
      <c r="F5" s="19"/>
      <c r="G5" s="19"/>
      <c r="H5" s="169"/>
      <c r="J5" s="170"/>
      <c r="K5" s="166"/>
    </row>
    <row r="6" spans="4:11" ht="14.25">
      <c r="D6" s="171" t="s">
        <v>4</v>
      </c>
      <c r="E6" s="171"/>
      <c r="F6" s="171"/>
      <c r="G6" s="171"/>
      <c r="H6" s="169"/>
      <c r="J6" s="170"/>
      <c r="K6" s="166"/>
    </row>
    <row r="7" spans="4:11" ht="14.25">
      <c r="D7" s="19" t="s">
        <v>5</v>
      </c>
      <c r="E7" s="19"/>
      <c r="F7" s="19"/>
      <c r="G7" s="19"/>
      <c r="H7" s="169"/>
      <c r="J7" s="170"/>
      <c r="K7" s="166"/>
    </row>
    <row r="8" spans="10:11" ht="14.25">
      <c r="J8" s="166"/>
      <c r="K8" s="166"/>
    </row>
    <row r="9" spans="1:20" ht="15" customHeight="1">
      <c r="A9" s="21" t="s">
        <v>6</v>
      </c>
      <c r="B9" s="21" t="s">
        <v>7</v>
      </c>
      <c r="C9" s="21" t="s">
        <v>8</v>
      </c>
      <c r="D9" s="21" t="s">
        <v>9</v>
      </c>
      <c r="E9" s="22" t="s">
        <v>10</v>
      </c>
      <c r="F9" s="21" t="s">
        <v>11</v>
      </c>
      <c r="G9" s="21"/>
      <c r="H9" s="23" t="s">
        <v>12</v>
      </c>
      <c r="I9" s="23"/>
      <c r="J9" s="24" t="s">
        <v>13</v>
      </c>
      <c r="K9" s="25" t="s">
        <v>14</v>
      </c>
      <c r="L9" s="26"/>
      <c r="M9" s="26"/>
      <c r="N9" s="26"/>
      <c r="O9" s="26"/>
      <c r="P9" s="172"/>
      <c r="Q9" s="172"/>
      <c r="R9" s="172"/>
      <c r="S9" s="172"/>
      <c r="T9" s="172"/>
    </row>
    <row r="10" spans="1:20" ht="14.25">
      <c r="A10" s="21"/>
      <c r="B10" s="21"/>
      <c r="C10" s="21"/>
      <c r="D10" s="21"/>
      <c r="E10" s="22"/>
      <c r="F10" s="28" t="s">
        <v>15</v>
      </c>
      <c r="G10" s="29" t="s">
        <v>16</v>
      </c>
      <c r="H10" s="29" t="s">
        <v>15</v>
      </c>
      <c r="I10" s="29" t="s">
        <v>16</v>
      </c>
      <c r="J10" s="29" t="s">
        <v>17</v>
      </c>
      <c r="K10" s="31">
        <f>E4</f>
        <v>0</v>
      </c>
      <c r="L10" s="32"/>
      <c r="M10" s="33"/>
      <c r="N10" s="33"/>
      <c r="O10" s="33"/>
      <c r="P10" s="32"/>
      <c r="Q10" s="32"/>
      <c r="R10" s="33"/>
      <c r="S10" s="33"/>
      <c r="T10" s="32"/>
    </row>
    <row r="11" spans="1:20" ht="14.25">
      <c r="A11" s="34" t="s">
        <v>18</v>
      </c>
      <c r="B11" s="3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173" customFormat="1" ht="14.25">
      <c r="A12" s="37" t="s">
        <v>20</v>
      </c>
      <c r="B12" s="43">
        <v>73672</v>
      </c>
      <c r="C12" s="39" t="s">
        <v>25</v>
      </c>
      <c r="D12" s="40" t="s">
        <v>23</v>
      </c>
      <c r="E12" s="41">
        <v>437.19</v>
      </c>
      <c r="F12" s="41"/>
      <c r="G12" s="41"/>
      <c r="H12" s="41"/>
      <c r="I12" s="41"/>
      <c r="J12" s="41"/>
      <c r="K12" s="41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173" customFormat="1" ht="23.25">
      <c r="A13" s="37" t="s">
        <v>24</v>
      </c>
      <c r="B13" s="38" t="s">
        <v>42</v>
      </c>
      <c r="C13" s="44" t="s">
        <v>43</v>
      </c>
      <c r="D13" s="40" t="s">
        <v>23</v>
      </c>
      <c r="E13" s="41">
        <v>370.04</v>
      </c>
      <c r="F13" s="41"/>
      <c r="G13" s="41"/>
      <c r="H13" s="41"/>
      <c r="I13" s="41"/>
      <c r="J13" s="41"/>
      <c r="K13" s="41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4.2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3"/>
      <c r="K14" s="54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4.25">
      <c r="A15" s="34" t="s">
        <v>65</v>
      </c>
      <c r="B15" s="35" t="s">
        <v>66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173" customFormat="1" ht="14.25">
      <c r="A16" s="56" t="s">
        <v>67</v>
      </c>
      <c r="B16" s="57" t="s">
        <v>428</v>
      </c>
      <c r="C16" s="58" t="s">
        <v>429</v>
      </c>
      <c r="D16" s="40" t="s">
        <v>23</v>
      </c>
      <c r="E16" s="41">
        <f>E12/2</f>
        <v>218.595</v>
      </c>
      <c r="F16" s="41"/>
      <c r="G16" s="41"/>
      <c r="H16" s="41"/>
      <c r="I16" s="41"/>
      <c r="J16" s="41"/>
      <c r="K16" s="41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173" customFormat="1" ht="23.25">
      <c r="A17" s="56" t="s">
        <v>430</v>
      </c>
      <c r="B17" s="174">
        <v>72915</v>
      </c>
      <c r="C17" s="58" t="s">
        <v>431</v>
      </c>
      <c r="D17" s="40" t="s">
        <v>346</v>
      </c>
      <c r="E17" s="41">
        <f>(0.6*0.6*0.6*11)+(3*2*1.5)+((3.14*((1.2/2)*(1.2/2)))*5)+5+24.3</f>
        <v>46.328</v>
      </c>
      <c r="F17" s="41"/>
      <c r="G17" s="41"/>
      <c r="H17" s="41"/>
      <c r="I17" s="41"/>
      <c r="J17" s="41"/>
      <c r="K17" s="41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173" customFormat="1" ht="14.25">
      <c r="A18" s="56" t="s">
        <v>70</v>
      </c>
      <c r="B18" s="174" t="s">
        <v>432</v>
      </c>
      <c r="C18" s="58" t="s">
        <v>433</v>
      </c>
      <c r="D18" s="40" t="s">
        <v>346</v>
      </c>
      <c r="E18" s="41">
        <v>62.34</v>
      </c>
      <c r="F18" s="41"/>
      <c r="G18" s="41"/>
      <c r="H18" s="41"/>
      <c r="I18" s="41"/>
      <c r="J18" s="41"/>
      <c r="K18" s="41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173" customFormat="1" ht="14.25">
      <c r="A19" s="56" t="s">
        <v>71</v>
      </c>
      <c r="B19" s="174" t="s">
        <v>434</v>
      </c>
      <c r="C19" s="58" t="s">
        <v>435</v>
      </c>
      <c r="D19" s="40" t="s">
        <v>346</v>
      </c>
      <c r="E19" s="41">
        <v>344.84</v>
      </c>
      <c r="F19" s="41"/>
      <c r="G19" s="41"/>
      <c r="H19" s="41"/>
      <c r="I19" s="41"/>
      <c r="J19" s="41"/>
      <c r="K19" s="41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173" customFormat="1" ht="14.25">
      <c r="A20" s="56" t="s">
        <v>72</v>
      </c>
      <c r="B20" s="174">
        <v>6430</v>
      </c>
      <c r="C20" s="58" t="s">
        <v>359</v>
      </c>
      <c r="D20" s="40" t="s">
        <v>346</v>
      </c>
      <c r="E20" s="41">
        <v>36.96</v>
      </c>
      <c r="F20" s="41"/>
      <c r="G20" s="41"/>
      <c r="H20" s="41"/>
      <c r="I20" s="41"/>
      <c r="J20" s="41"/>
      <c r="K20" s="41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4.25">
      <c r="A21" s="67" t="s">
        <v>80</v>
      </c>
      <c r="B21" s="67"/>
      <c r="C21" s="67"/>
      <c r="D21" s="67"/>
      <c r="E21" s="67"/>
      <c r="F21" s="67"/>
      <c r="G21" s="67"/>
      <c r="H21" s="67"/>
      <c r="I21" s="67"/>
      <c r="J21" s="53"/>
      <c r="K21" s="175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4.25">
      <c r="A22" s="34" t="s">
        <v>81</v>
      </c>
      <c r="B22" s="35" t="s">
        <v>82</v>
      </c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173" customFormat="1" ht="15.75" customHeight="1">
      <c r="A23" s="37" t="s">
        <v>83</v>
      </c>
      <c r="B23" s="37"/>
      <c r="C23" s="176" t="s">
        <v>436</v>
      </c>
      <c r="D23" s="177" t="s">
        <v>23</v>
      </c>
      <c r="E23" s="178">
        <v>155.5</v>
      </c>
      <c r="F23" s="178"/>
      <c r="G23" s="178"/>
      <c r="H23" s="178"/>
      <c r="I23" s="178"/>
      <c r="J23" s="178"/>
      <c r="K23" s="41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173" customFormat="1" ht="14.25">
      <c r="A24" s="37" t="s">
        <v>84</v>
      </c>
      <c r="B24" s="37" t="s">
        <v>437</v>
      </c>
      <c r="C24" s="176" t="s">
        <v>438</v>
      </c>
      <c r="D24" s="177" t="s">
        <v>346</v>
      </c>
      <c r="E24" s="178">
        <v>9.6</v>
      </c>
      <c r="F24" s="178"/>
      <c r="G24" s="178"/>
      <c r="H24" s="178"/>
      <c r="I24" s="178"/>
      <c r="J24" s="178"/>
      <c r="K24" s="41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173" customFormat="1" ht="14.25">
      <c r="A25" s="37" t="s">
        <v>85</v>
      </c>
      <c r="B25" s="37" t="s">
        <v>439</v>
      </c>
      <c r="C25" s="176" t="s">
        <v>440</v>
      </c>
      <c r="D25" s="177" t="s">
        <v>346</v>
      </c>
      <c r="E25" s="178">
        <v>9.6</v>
      </c>
      <c r="F25" s="178"/>
      <c r="G25" s="178"/>
      <c r="H25" s="178"/>
      <c r="I25" s="178"/>
      <c r="J25" s="178"/>
      <c r="K25" s="41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173" customFormat="1" ht="14.25">
      <c r="A26" s="37" t="s">
        <v>86</v>
      </c>
      <c r="B26" s="37"/>
      <c r="C26" s="176" t="s">
        <v>441</v>
      </c>
      <c r="D26" s="177" t="s">
        <v>346</v>
      </c>
      <c r="E26" s="178">
        <v>2.32</v>
      </c>
      <c r="F26" s="178"/>
      <c r="G26" s="178"/>
      <c r="H26" s="178"/>
      <c r="I26" s="178"/>
      <c r="J26" s="178"/>
      <c r="K26" s="41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173" customFormat="1" ht="14.25">
      <c r="A27" s="37" t="s">
        <v>87</v>
      </c>
      <c r="B27" s="37"/>
      <c r="C27" s="176" t="s">
        <v>442</v>
      </c>
      <c r="D27" s="177" t="s">
        <v>346</v>
      </c>
      <c r="E27" s="178">
        <v>23.86</v>
      </c>
      <c r="F27" s="178"/>
      <c r="G27" s="178"/>
      <c r="H27" s="178"/>
      <c r="I27" s="178"/>
      <c r="J27" s="178"/>
      <c r="K27" s="41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173" customFormat="1" ht="14.25">
      <c r="A28" s="37" t="s">
        <v>88</v>
      </c>
      <c r="B28" s="37" t="s">
        <v>439</v>
      </c>
      <c r="C28" s="176" t="s">
        <v>443</v>
      </c>
      <c r="D28" s="177" t="s">
        <v>346</v>
      </c>
      <c r="E28" s="178">
        <v>23.86</v>
      </c>
      <c r="F28" s="178"/>
      <c r="G28" s="178"/>
      <c r="H28" s="178"/>
      <c r="I28" s="178"/>
      <c r="J28" s="178"/>
      <c r="K28" s="41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173" customFormat="1" ht="14.25">
      <c r="A29" s="37" t="s">
        <v>89</v>
      </c>
      <c r="B29" s="37"/>
      <c r="C29" s="176" t="s">
        <v>444</v>
      </c>
      <c r="D29" s="177" t="s">
        <v>23</v>
      </c>
      <c r="E29" s="178">
        <v>28.7</v>
      </c>
      <c r="F29" s="178"/>
      <c r="G29" s="178"/>
      <c r="H29" s="178"/>
      <c r="I29" s="178"/>
      <c r="J29" s="178"/>
      <c r="K29" s="41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173" customFormat="1" ht="23.25">
      <c r="A30" s="37" t="s">
        <v>90</v>
      </c>
      <c r="B30" s="179" t="s">
        <v>445</v>
      </c>
      <c r="C30" s="180" t="s">
        <v>446</v>
      </c>
      <c r="D30" s="177" t="s">
        <v>447</v>
      </c>
      <c r="E30" s="178">
        <v>327.6</v>
      </c>
      <c r="F30" s="178"/>
      <c r="G30" s="178"/>
      <c r="H30" s="178"/>
      <c r="I30" s="178"/>
      <c r="J30" s="178"/>
      <c r="K30" s="41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4.25">
      <c r="A31" s="67" t="s">
        <v>93</v>
      </c>
      <c r="B31" s="67"/>
      <c r="C31" s="67"/>
      <c r="D31" s="67"/>
      <c r="E31" s="67"/>
      <c r="F31" s="67"/>
      <c r="G31" s="67"/>
      <c r="H31" s="67"/>
      <c r="I31" s="67"/>
      <c r="J31" s="53"/>
      <c r="K31" s="53"/>
      <c r="L31" s="68"/>
      <c r="M31" s="36"/>
      <c r="N31" s="36"/>
      <c r="O31" s="36"/>
      <c r="P31" s="36"/>
      <c r="Q31" s="36"/>
      <c r="R31" s="36"/>
      <c r="S31" s="36"/>
      <c r="T31" s="36"/>
    </row>
    <row r="32" spans="1:22" s="181" customFormat="1" ht="14.25">
      <c r="A32" s="69" t="s">
        <v>94</v>
      </c>
      <c r="B32" s="70" t="s">
        <v>95</v>
      </c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s="189" customFormat="1" ht="14.25">
      <c r="A33" s="182" t="s">
        <v>96</v>
      </c>
      <c r="B33" s="182"/>
      <c r="C33" s="183" t="s">
        <v>448</v>
      </c>
      <c r="D33" s="184" t="s">
        <v>346</v>
      </c>
      <c r="E33" s="185">
        <f>0.97+1.62</f>
        <v>2.59</v>
      </c>
      <c r="F33" s="186"/>
      <c r="G33" s="186"/>
      <c r="H33" s="186"/>
      <c r="I33" s="186"/>
      <c r="J33" s="186"/>
      <c r="K33" s="83"/>
      <c r="L33" s="187"/>
      <c r="M33" s="188"/>
      <c r="N33" s="188"/>
      <c r="O33" s="188"/>
      <c r="P33" s="188"/>
      <c r="Q33" s="188"/>
      <c r="R33" s="188"/>
      <c r="S33" s="188"/>
      <c r="T33" s="188"/>
      <c r="U33" s="188"/>
      <c r="V33" s="188"/>
    </row>
    <row r="34" spans="1:22" s="189" customFormat="1" ht="23.25">
      <c r="A34" s="182" t="s">
        <v>97</v>
      </c>
      <c r="B34" s="182"/>
      <c r="C34" s="190" t="s">
        <v>449</v>
      </c>
      <c r="D34" s="184" t="s">
        <v>23</v>
      </c>
      <c r="E34" s="185">
        <v>188.5</v>
      </c>
      <c r="F34" s="186"/>
      <c r="G34" s="186"/>
      <c r="H34" s="186"/>
      <c r="I34" s="186"/>
      <c r="J34" s="191"/>
      <c r="K34" s="192"/>
      <c r="L34" s="187"/>
      <c r="M34" s="188"/>
      <c r="N34" s="188"/>
      <c r="O34" s="188"/>
      <c r="P34" s="188"/>
      <c r="Q34" s="188"/>
      <c r="R34" s="188"/>
      <c r="S34" s="188"/>
      <c r="T34" s="188"/>
      <c r="U34" s="188"/>
      <c r="V34" s="188"/>
    </row>
    <row r="35" spans="1:22" s="189" customFormat="1" ht="23.25">
      <c r="A35" s="182" t="s">
        <v>98</v>
      </c>
      <c r="B35" s="182"/>
      <c r="C35" s="190" t="s">
        <v>450</v>
      </c>
      <c r="D35" s="184" t="s">
        <v>23</v>
      </c>
      <c r="E35" s="185">
        <v>473.5</v>
      </c>
      <c r="F35" s="186"/>
      <c r="G35" s="186"/>
      <c r="H35" s="186"/>
      <c r="I35" s="186"/>
      <c r="J35" s="191"/>
      <c r="K35" s="192"/>
      <c r="L35" s="187"/>
      <c r="M35" s="188"/>
      <c r="N35" s="188"/>
      <c r="O35" s="188"/>
      <c r="P35" s="188"/>
      <c r="Q35" s="188"/>
      <c r="R35" s="188"/>
      <c r="S35" s="188"/>
      <c r="T35" s="188"/>
      <c r="U35" s="188"/>
      <c r="V35" s="188"/>
    </row>
    <row r="36" spans="1:22" s="189" customFormat="1" ht="14.25">
      <c r="A36" s="182" t="s">
        <v>99</v>
      </c>
      <c r="B36" s="37" t="s">
        <v>437</v>
      </c>
      <c r="C36" s="183" t="s">
        <v>451</v>
      </c>
      <c r="D36" s="184" t="s">
        <v>346</v>
      </c>
      <c r="E36" s="185">
        <v>30.8</v>
      </c>
      <c r="F36" s="186"/>
      <c r="G36" s="186"/>
      <c r="H36" s="186"/>
      <c r="I36" s="186"/>
      <c r="J36" s="191"/>
      <c r="K36" s="192"/>
      <c r="L36" s="187"/>
      <c r="M36" s="188"/>
      <c r="N36" s="188"/>
      <c r="O36" s="188"/>
      <c r="P36" s="188"/>
      <c r="Q36" s="188"/>
      <c r="R36" s="188"/>
      <c r="S36" s="188"/>
      <c r="T36" s="188"/>
      <c r="U36" s="188"/>
      <c r="V36" s="188"/>
    </row>
    <row r="37" spans="1:22" s="189" customFormat="1" ht="14.25">
      <c r="A37" s="182" t="s">
        <v>100</v>
      </c>
      <c r="B37" s="182" t="s">
        <v>452</v>
      </c>
      <c r="C37" s="183" t="s">
        <v>453</v>
      </c>
      <c r="D37" s="184" t="s">
        <v>346</v>
      </c>
      <c r="E37" s="185">
        <v>30.8</v>
      </c>
      <c r="F37" s="186"/>
      <c r="G37" s="186"/>
      <c r="H37" s="186"/>
      <c r="I37" s="186"/>
      <c r="J37" s="191"/>
      <c r="K37" s="192"/>
      <c r="L37" s="187"/>
      <c r="M37" s="188"/>
      <c r="N37" s="188"/>
      <c r="O37" s="188"/>
      <c r="P37" s="188"/>
      <c r="Q37" s="188"/>
      <c r="R37" s="188"/>
      <c r="S37" s="188"/>
      <c r="T37" s="188"/>
      <c r="U37" s="188"/>
      <c r="V37" s="188"/>
    </row>
    <row r="38" spans="1:22" s="189" customFormat="1" ht="14.25">
      <c r="A38" s="182" t="s">
        <v>101</v>
      </c>
      <c r="B38" s="37" t="s">
        <v>437</v>
      </c>
      <c r="C38" s="183" t="s">
        <v>454</v>
      </c>
      <c r="D38" s="184" t="s">
        <v>346</v>
      </c>
      <c r="E38" s="185">
        <v>11.6</v>
      </c>
      <c r="F38" s="186"/>
      <c r="G38" s="186"/>
      <c r="H38" s="186"/>
      <c r="I38" s="186"/>
      <c r="J38" s="191"/>
      <c r="K38" s="192"/>
      <c r="L38" s="187"/>
      <c r="M38" s="188"/>
      <c r="N38" s="188"/>
      <c r="O38" s="188"/>
      <c r="P38" s="188"/>
      <c r="Q38" s="188"/>
      <c r="R38" s="188"/>
      <c r="S38" s="188"/>
      <c r="T38" s="188"/>
      <c r="U38" s="188"/>
      <c r="V38" s="188"/>
    </row>
    <row r="39" spans="1:22" s="189" customFormat="1" ht="14.25">
      <c r="A39" s="182" t="s">
        <v>102</v>
      </c>
      <c r="B39" s="182" t="s">
        <v>452</v>
      </c>
      <c r="C39" s="183" t="s">
        <v>455</v>
      </c>
      <c r="D39" s="184" t="s">
        <v>346</v>
      </c>
      <c r="E39" s="185">
        <v>11.6</v>
      </c>
      <c r="F39" s="186"/>
      <c r="G39" s="186"/>
      <c r="H39" s="186"/>
      <c r="I39" s="186"/>
      <c r="J39" s="191"/>
      <c r="K39" s="192"/>
      <c r="L39" s="187"/>
      <c r="M39" s="188"/>
      <c r="N39" s="188"/>
      <c r="O39" s="188"/>
      <c r="P39" s="188"/>
      <c r="Q39" s="188"/>
      <c r="R39" s="188"/>
      <c r="S39" s="188"/>
      <c r="T39" s="188"/>
      <c r="U39" s="188"/>
      <c r="V39" s="188"/>
    </row>
    <row r="40" spans="1:22" s="189" customFormat="1" ht="23.25">
      <c r="A40" s="182" t="s">
        <v>103</v>
      </c>
      <c r="B40" s="179" t="s">
        <v>445</v>
      </c>
      <c r="C40" s="183" t="s">
        <v>456</v>
      </c>
      <c r="D40" s="184" t="s">
        <v>447</v>
      </c>
      <c r="E40" s="185">
        <v>1198.4</v>
      </c>
      <c r="F40" s="186"/>
      <c r="G40" s="186"/>
      <c r="H40" s="186"/>
      <c r="I40" s="186"/>
      <c r="J40" s="191"/>
      <c r="K40" s="192"/>
      <c r="L40" s="187"/>
      <c r="M40" s="188"/>
      <c r="N40" s="188"/>
      <c r="O40" s="188"/>
      <c r="P40" s="188"/>
      <c r="Q40" s="188"/>
      <c r="R40" s="188"/>
      <c r="S40" s="188"/>
      <c r="T40" s="188"/>
      <c r="U40" s="188"/>
      <c r="V40" s="188"/>
    </row>
    <row r="41" spans="1:22" s="189" customFormat="1" ht="14.25">
      <c r="A41" s="182" t="s">
        <v>104</v>
      </c>
      <c r="B41" s="37" t="s">
        <v>457</v>
      </c>
      <c r="C41" s="183" t="s">
        <v>458</v>
      </c>
      <c r="D41" s="184" t="s">
        <v>447</v>
      </c>
      <c r="E41" s="185">
        <v>255.3</v>
      </c>
      <c r="F41" s="186"/>
      <c r="G41" s="186"/>
      <c r="H41" s="186"/>
      <c r="I41" s="186"/>
      <c r="J41" s="191"/>
      <c r="K41" s="192"/>
      <c r="L41" s="187"/>
      <c r="M41" s="188"/>
      <c r="N41" s="188"/>
      <c r="O41" s="188"/>
      <c r="P41" s="188"/>
      <c r="Q41" s="188"/>
      <c r="R41" s="188"/>
      <c r="S41" s="188"/>
      <c r="T41" s="188"/>
      <c r="U41" s="188"/>
      <c r="V41" s="188"/>
    </row>
    <row r="42" spans="1:22" s="189" customFormat="1" ht="23.25">
      <c r="A42" s="182" t="s">
        <v>105</v>
      </c>
      <c r="B42" s="179" t="s">
        <v>445</v>
      </c>
      <c r="C42" s="183" t="s">
        <v>459</v>
      </c>
      <c r="D42" s="184" t="s">
        <v>447</v>
      </c>
      <c r="E42" s="185">
        <v>1513.9</v>
      </c>
      <c r="F42" s="186"/>
      <c r="G42" s="186"/>
      <c r="H42" s="186"/>
      <c r="I42" s="186"/>
      <c r="J42" s="191"/>
      <c r="K42" s="192"/>
      <c r="L42" s="187"/>
      <c r="M42" s="188"/>
      <c r="N42" s="188"/>
      <c r="O42" s="188"/>
      <c r="P42" s="188"/>
      <c r="Q42" s="188"/>
      <c r="R42" s="188"/>
      <c r="S42" s="188"/>
      <c r="T42" s="188"/>
      <c r="U42" s="188"/>
      <c r="V42" s="188"/>
    </row>
    <row r="43" spans="1:22" s="189" customFormat="1" ht="14.25">
      <c r="A43" s="182" t="s">
        <v>460</v>
      </c>
      <c r="B43" s="37" t="s">
        <v>457</v>
      </c>
      <c r="C43" s="183" t="s">
        <v>461</v>
      </c>
      <c r="D43" s="184" t="s">
        <v>447</v>
      </c>
      <c r="E43" s="185">
        <v>533.2</v>
      </c>
      <c r="F43" s="186"/>
      <c r="G43" s="186"/>
      <c r="H43" s="186"/>
      <c r="I43" s="186"/>
      <c r="J43" s="191"/>
      <c r="K43" s="192"/>
      <c r="L43" s="187"/>
      <c r="M43" s="188"/>
      <c r="N43" s="188"/>
      <c r="O43" s="188"/>
      <c r="P43" s="188"/>
      <c r="Q43" s="188"/>
      <c r="R43" s="188"/>
      <c r="S43" s="188"/>
      <c r="T43" s="188"/>
      <c r="U43" s="188"/>
      <c r="V43" s="188"/>
    </row>
    <row r="44" spans="1:22" s="189" customFormat="1" ht="23.25">
      <c r="A44" s="182" t="s">
        <v>462</v>
      </c>
      <c r="B44" s="182"/>
      <c r="C44" s="190" t="s">
        <v>463</v>
      </c>
      <c r="D44" s="184" t="s">
        <v>23</v>
      </c>
      <c r="E44" s="185">
        <v>134.85</v>
      </c>
      <c r="F44" s="186"/>
      <c r="G44" s="186"/>
      <c r="H44" s="186"/>
      <c r="I44" s="186"/>
      <c r="J44" s="191"/>
      <c r="K44" s="192"/>
      <c r="L44" s="187"/>
      <c r="M44" s="188"/>
      <c r="N44" s="188"/>
      <c r="O44" s="188"/>
      <c r="P44" s="188"/>
      <c r="Q44" s="188"/>
      <c r="R44" s="188"/>
      <c r="S44" s="188"/>
      <c r="T44" s="188"/>
      <c r="U44" s="188"/>
      <c r="V44" s="188"/>
    </row>
    <row r="45" spans="1:22" s="189" customFormat="1" ht="14.25">
      <c r="A45" s="182" t="s">
        <v>464</v>
      </c>
      <c r="B45" s="182"/>
      <c r="C45" s="183" t="s">
        <v>465</v>
      </c>
      <c r="D45" s="184" t="s">
        <v>391</v>
      </c>
      <c r="E45" s="185">
        <v>1687</v>
      </c>
      <c r="F45" s="186"/>
      <c r="G45" s="186"/>
      <c r="H45" s="186"/>
      <c r="I45" s="186"/>
      <c r="J45" s="191"/>
      <c r="K45" s="192"/>
      <c r="L45" s="187"/>
      <c r="M45" s="188"/>
      <c r="N45" s="188"/>
      <c r="O45" s="188"/>
      <c r="P45" s="188"/>
      <c r="Q45" s="188"/>
      <c r="R45" s="188"/>
      <c r="S45" s="188"/>
      <c r="T45" s="188"/>
      <c r="U45" s="188"/>
      <c r="V45" s="188"/>
    </row>
    <row r="46" spans="1:22" s="189" customFormat="1" ht="14.25">
      <c r="A46" s="182" t="s">
        <v>466</v>
      </c>
      <c r="B46" s="37" t="s">
        <v>437</v>
      </c>
      <c r="C46" s="183" t="s">
        <v>467</v>
      </c>
      <c r="D46" s="184" t="s">
        <v>346</v>
      </c>
      <c r="E46" s="185">
        <v>25.8</v>
      </c>
      <c r="F46" s="186"/>
      <c r="G46" s="186"/>
      <c r="H46" s="186"/>
      <c r="I46" s="186"/>
      <c r="J46" s="191"/>
      <c r="K46" s="192"/>
      <c r="L46" s="187"/>
      <c r="M46" s="188"/>
      <c r="N46" s="188"/>
      <c r="O46" s="188"/>
      <c r="P46" s="188"/>
      <c r="Q46" s="188"/>
      <c r="R46" s="188"/>
      <c r="S46" s="188"/>
      <c r="T46" s="188"/>
      <c r="U46" s="188"/>
      <c r="V46" s="188"/>
    </row>
    <row r="47" spans="1:22" s="189" customFormat="1" ht="14.25">
      <c r="A47" s="182" t="s">
        <v>468</v>
      </c>
      <c r="B47" s="182" t="s">
        <v>452</v>
      </c>
      <c r="C47" s="183" t="s">
        <v>469</v>
      </c>
      <c r="D47" s="184" t="s">
        <v>346</v>
      </c>
      <c r="E47" s="185">
        <v>25.8</v>
      </c>
      <c r="F47" s="186"/>
      <c r="G47" s="186"/>
      <c r="H47" s="186"/>
      <c r="I47" s="186"/>
      <c r="J47" s="191"/>
      <c r="K47" s="192"/>
      <c r="L47" s="187"/>
      <c r="M47" s="188"/>
      <c r="N47" s="188"/>
      <c r="O47" s="188"/>
      <c r="P47" s="188"/>
      <c r="Q47" s="188"/>
      <c r="R47" s="188"/>
      <c r="S47" s="188"/>
      <c r="T47" s="188"/>
      <c r="U47" s="188"/>
      <c r="V47" s="188"/>
    </row>
    <row r="48" spans="1:22" s="181" customFormat="1" ht="14.25">
      <c r="A48" s="79" t="s">
        <v>106</v>
      </c>
      <c r="B48" s="79"/>
      <c r="C48" s="79"/>
      <c r="D48" s="79"/>
      <c r="E48" s="79"/>
      <c r="F48" s="79"/>
      <c r="G48" s="79"/>
      <c r="H48" s="79"/>
      <c r="I48" s="79"/>
      <c r="J48" s="53"/>
      <c r="K48" s="53"/>
      <c r="L48" s="193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s="194" customFormat="1" ht="14.25">
      <c r="A49" s="74" t="s">
        <v>107</v>
      </c>
      <c r="B49" s="81" t="s">
        <v>108</v>
      </c>
      <c r="C49" s="81"/>
      <c r="D49" s="81"/>
      <c r="E49" s="81"/>
      <c r="F49" s="81"/>
      <c r="G49" s="81"/>
      <c r="H49" s="81"/>
      <c r="I49" s="81"/>
      <c r="J49" s="81"/>
      <c r="K49" s="81"/>
      <c r="L49" s="71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0" s="173" customFormat="1" ht="23.25">
      <c r="A50" s="37" t="s">
        <v>109</v>
      </c>
      <c r="B50" s="38" t="s">
        <v>470</v>
      </c>
      <c r="C50" s="44" t="s">
        <v>471</v>
      </c>
      <c r="D50" s="40" t="s">
        <v>23</v>
      </c>
      <c r="E50" s="41">
        <f>(2.85*(2*(3.53+3+3.6)))+(4.5*((3*3.35)+(2*9.5)))+(0.8*(2*17.04))+(1.35*(38.59))+(1.97*29.28)</f>
        <v>325.5081</v>
      </c>
      <c r="F50" s="41"/>
      <c r="G50" s="41"/>
      <c r="H50" s="41"/>
      <c r="I50" s="41"/>
      <c r="J50" s="41"/>
      <c r="K50" s="77"/>
      <c r="L50" s="68"/>
      <c r="M50" s="36"/>
      <c r="N50" s="36"/>
      <c r="O50" s="36"/>
      <c r="P50" s="36"/>
      <c r="Q50" s="36"/>
      <c r="R50" s="36"/>
      <c r="S50" s="36"/>
      <c r="T50" s="36"/>
    </row>
    <row r="51" spans="1:20" s="173" customFormat="1" ht="23.25">
      <c r="A51" s="37" t="s">
        <v>110</v>
      </c>
      <c r="B51" s="38" t="s">
        <v>472</v>
      </c>
      <c r="C51" s="44" t="s">
        <v>473</v>
      </c>
      <c r="D51" s="40" t="s">
        <v>23</v>
      </c>
      <c r="E51" s="41">
        <f>(2.85*(2*(16.8)))+(3.35*(37.21))+(4.5*(2*8.85))</f>
        <v>300.0635</v>
      </c>
      <c r="F51" s="41"/>
      <c r="G51" s="41"/>
      <c r="H51" s="41"/>
      <c r="I51" s="41"/>
      <c r="J51" s="41"/>
      <c r="K51" s="41"/>
      <c r="L51" s="36"/>
      <c r="M51" s="36"/>
      <c r="N51" s="36"/>
      <c r="O51" s="36"/>
      <c r="P51" s="36"/>
      <c r="Q51" s="36"/>
      <c r="R51" s="36"/>
      <c r="S51" s="36"/>
      <c r="T51" s="36"/>
    </row>
    <row r="52" spans="1:20" s="173" customFormat="1" ht="23.25">
      <c r="A52" s="37" t="s">
        <v>111</v>
      </c>
      <c r="B52" s="120">
        <v>72131</v>
      </c>
      <c r="C52" s="44" t="s">
        <v>474</v>
      </c>
      <c r="D52" s="40" t="s">
        <v>23</v>
      </c>
      <c r="E52" s="41">
        <f>2*0.9</f>
        <v>1.8</v>
      </c>
      <c r="F52" s="41"/>
      <c r="G52" s="41"/>
      <c r="H52" s="41"/>
      <c r="I52" s="41"/>
      <c r="J52" s="41"/>
      <c r="K52" s="41"/>
      <c r="L52" s="36"/>
      <c r="M52" s="36"/>
      <c r="N52" s="36"/>
      <c r="O52" s="36"/>
      <c r="P52" s="36"/>
      <c r="Q52" s="36"/>
      <c r="R52" s="36"/>
      <c r="S52" s="36"/>
      <c r="T52" s="36"/>
    </row>
    <row r="53" spans="1:20" s="173" customFormat="1" ht="24" customHeight="1">
      <c r="A53" s="37" t="s">
        <v>112</v>
      </c>
      <c r="B53" s="38" t="s">
        <v>475</v>
      </c>
      <c r="C53" s="44" t="s">
        <v>476</v>
      </c>
      <c r="D53" s="40" t="s">
        <v>346</v>
      </c>
      <c r="E53" s="41">
        <f>((2*((4*4.13)+(3*2.1)+(2*3.4)))+(5*1.4)+(6*1.6))*(0.2*0.1)</f>
        <v>1.5168000000000004</v>
      </c>
      <c r="F53" s="41"/>
      <c r="G53" s="41"/>
      <c r="H53" s="41"/>
      <c r="I53" s="41"/>
      <c r="J53" s="41"/>
      <c r="K53" s="41"/>
      <c r="L53" s="36"/>
      <c r="M53" s="36"/>
      <c r="N53" s="36"/>
      <c r="O53" s="36"/>
      <c r="P53" s="36"/>
      <c r="Q53" s="36"/>
      <c r="R53" s="36"/>
      <c r="S53" s="36"/>
      <c r="T53" s="36"/>
    </row>
    <row r="54" spans="1:20" s="197" customFormat="1" ht="24" customHeight="1">
      <c r="A54" s="86" t="s">
        <v>113</v>
      </c>
      <c r="B54" s="195"/>
      <c r="C54" s="89" t="s">
        <v>477</v>
      </c>
      <c r="D54" s="196" t="s">
        <v>23</v>
      </c>
      <c r="E54" s="83">
        <f>9.06*3.35</f>
        <v>30.351000000000003</v>
      </c>
      <c r="F54" s="83"/>
      <c r="G54" s="83"/>
      <c r="H54" s="83"/>
      <c r="I54" s="83"/>
      <c r="J54" s="83"/>
      <c r="K54" s="83"/>
      <c r="L54" s="90"/>
      <c r="M54" s="90"/>
      <c r="N54" s="90"/>
      <c r="O54" s="90"/>
      <c r="P54" s="90"/>
      <c r="Q54" s="90"/>
      <c r="R54" s="90"/>
      <c r="S54" s="90"/>
      <c r="T54" s="90"/>
    </row>
    <row r="55" spans="1:20" s="173" customFormat="1" ht="23.25">
      <c r="A55" s="37" t="s">
        <v>114</v>
      </c>
      <c r="B55" s="38" t="s">
        <v>478</v>
      </c>
      <c r="C55" s="44" t="s">
        <v>479</v>
      </c>
      <c r="D55" s="40" t="s">
        <v>23</v>
      </c>
      <c r="E55" s="41">
        <f>((3.4+1.8+1.8)*2)*2</f>
        <v>28</v>
      </c>
      <c r="F55" s="41"/>
      <c r="G55" s="41"/>
      <c r="H55" s="41"/>
      <c r="I55" s="41"/>
      <c r="J55" s="41"/>
      <c r="K55" s="77"/>
      <c r="L55" s="68"/>
      <c r="M55" s="36"/>
      <c r="N55" s="36"/>
      <c r="O55" s="36"/>
      <c r="P55" s="36"/>
      <c r="Q55" s="36"/>
      <c r="R55" s="36"/>
      <c r="S55" s="36"/>
      <c r="T55" s="36"/>
    </row>
    <row r="56" spans="1:22" s="181" customFormat="1" ht="14.25">
      <c r="A56" s="79" t="s">
        <v>119</v>
      </c>
      <c r="B56" s="79"/>
      <c r="C56" s="79"/>
      <c r="D56" s="79"/>
      <c r="E56" s="79"/>
      <c r="F56" s="79"/>
      <c r="G56" s="79"/>
      <c r="H56" s="79"/>
      <c r="I56" s="79"/>
      <c r="J56" s="53"/>
      <c r="K56" s="53"/>
      <c r="L56" s="193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0" s="173" customFormat="1" ht="15.75" customHeight="1">
      <c r="A57" s="34" t="s">
        <v>120</v>
      </c>
      <c r="B57" s="35" t="s">
        <v>121</v>
      </c>
      <c r="C57" s="35"/>
      <c r="D57" s="35"/>
      <c r="E57" s="35"/>
      <c r="F57" s="35"/>
      <c r="G57" s="35"/>
      <c r="H57" s="35"/>
      <c r="I57" s="35"/>
      <c r="J57" s="35"/>
      <c r="K57" s="35"/>
      <c r="L57" s="68"/>
      <c r="M57" s="36"/>
      <c r="N57" s="36"/>
      <c r="O57" s="36"/>
      <c r="P57" s="36"/>
      <c r="Q57" s="36"/>
      <c r="R57" s="36"/>
      <c r="S57" s="36"/>
      <c r="T57" s="36"/>
    </row>
    <row r="58" spans="1:20" s="173" customFormat="1" ht="15.75" customHeight="1">
      <c r="A58" s="82" t="s">
        <v>122</v>
      </c>
      <c r="B58" s="198" t="s">
        <v>480</v>
      </c>
      <c r="C58" s="39" t="s">
        <v>481</v>
      </c>
      <c r="D58" s="40" t="s">
        <v>391</v>
      </c>
      <c r="E58" s="83">
        <v>4</v>
      </c>
      <c r="F58" s="83"/>
      <c r="G58" s="83"/>
      <c r="H58" s="83"/>
      <c r="I58" s="83"/>
      <c r="J58" s="83"/>
      <c r="K58" s="41"/>
      <c r="L58" s="36"/>
      <c r="M58" s="36"/>
      <c r="N58" s="36"/>
      <c r="O58" s="36"/>
      <c r="P58" s="36"/>
      <c r="Q58" s="36"/>
      <c r="R58" s="36"/>
      <c r="S58" s="36"/>
      <c r="T58" s="36"/>
    </row>
    <row r="59" spans="1:20" s="173" customFormat="1" ht="15.75" customHeight="1">
      <c r="A59" s="82" t="s">
        <v>123</v>
      </c>
      <c r="B59" s="198" t="s">
        <v>482</v>
      </c>
      <c r="C59" s="39" t="s">
        <v>483</v>
      </c>
      <c r="D59" s="40" t="s">
        <v>23</v>
      </c>
      <c r="E59" s="83">
        <f>(4.5*6.9)+(3.6*2.7*2)+E189</f>
        <v>92.72</v>
      </c>
      <c r="F59" s="83"/>
      <c r="G59" s="83"/>
      <c r="H59" s="83"/>
      <c r="I59" s="83"/>
      <c r="J59" s="83"/>
      <c r="K59" s="41"/>
      <c r="L59" s="36"/>
      <c r="M59" s="36"/>
      <c r="N59" s="36"/>
      <c r="O59" s="36"/>
      <c r="P59" s="36"/>
      <c r="Q59" s="36"/>
      <c r="R59" s="36"/>
      <c r="S59" s="36"/>
      <c r="T59" s="36"/>
    </row>
    <row r="60" spans="1:20" s="173" customFormat="1" ht="15.75" customHeight="1">
      <c r="A60" s="82" t="s">
        <v>124</v>
      </c>
      <c r="B60" s="75" t="s">
        <v>484</v>
      </c>
      <c r="C60" s="39" t="s">
        <v>485</v>
      </c>
      <c r="D60" s="40" t="s">
        <v>23</v>
      </c>
      <c r="E60" s="83">
        <f>(5.92*1)*2</f>
        <v>11.84</v>
      </c>
      <c r="F60" s="83"/>
      <c r="G60" s="83"/>
      <c r="H60" s="83"/>
      <c r="I60" s="83"/>
      <c r="J60" s="83"/>
      <c r="K60" s="41"/>
      <c r="L60" s="36"/>
      <c r="M60" s="36"/>
      <c r="N60" s="36"/>
      <c r="O60" s="36"/>
      <c r="P60" s="36"/>
      <c r="Q60" s="36"/>
      <c r="R60" s="36"/>
      <c r="S60" s="36"/>
      <c r="T60" s="36"/>
    </row>
    <row r="61" spans="1:20" s="173" customFormat="1" ht="23.25">
      <c r="A61" s="82" t="s">
        <v>125</v>
      </c>
      <c r="B61" s="38" t="s">
        <v>486</v>
      </c>
      <c r="C61" s="44" t="s">
        <v>487</v>
      </c>
      <c r="D61" s="40" t="s">
        <v>391</v>
      </c>
      <c r="E61" s="83">
        <v>1</v>
      </c>
      <c r="F61" s="83"/>
      <c r="G61" s="83"/>
      <c r="H61" s="83"/>
      <c r="I61" s="83"/>
      <c r="J61" s="83"/>
      <c r="K61" s="41"/>
      <c r="L61" s="36"/>
      <c r="M61" s="36"/>
      <c r="N61" s="36"/>
      <c r="O61" s="36"/>
      <c r="P61" s="36"/>
      <c r="Q61" s="36"/>
      <c r="R61" s="36"/>
      <c r="S61" s="36"/>
      <c r="T61" s="36"/>
    </row>
    <row r="62" spans="1:20" s="173" customFormat="1" ht="14.25">
      <c r="A62" s="82" t="s">
        <v>126</v>
      </c>
      <c r="B62" s="38"/>
      <c r="C62" s="44" t="s">
        <v>488</v>
      </c>
      <c r="D62" s="40" t="s">
        <v>391</v>
      </c>
      <c r="E62" s="83">
        <v>4</v>
      </c>
      <c r="F62" s="83"/>
      <c r="G62" s="83"/>
      <c r="H62" s="83"/>
      <c r="I62" s="83"/>
      <c r="J62" s="83"/>
      <c r="K62" s="41"/>
      <c r="L62" s="36"/>
      <c r="M62" s="36"/>
      <c r="N62" s="36"/>
      <c r="O62" s="36"/>
      <c r="P62" s="36"/>
      <c r="Q62" s="36"/>
      <c r="R62" s="36"/>
      <c r="S62" s="36"/>
      <c r="T62" s="36"/>
    </row>
    <row r="63" spans="1:20" s="173" customFormat="1" ht="14.25">
      <c r="A63" s="82" t="s">
        <v>127</v>
      </c>
      <c r="B63" s="38"/>
      <c r="C63" s="44" t="s">
        <v>489</v>
      </c>
      <c r="D63" s="40" t="s">
        <v>391</v>
      </c>
      <c r="E63" s="83">
        <v>2</v>
      </c>
      <c r="F63" s="83"/>
      <c r="G63" s="83"/>
      <c r="H63" s="83"/>
      <c r="I63" s="83"/>
      <c r="J63" s="83"/>
      <c r="K63" s="41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173" customFormat="1" ht="23.25">
      <c r="A64" s="82" t="s">
        <v>128</v>
      </c>
      <c r="B64" s="38" t="s">
        <v>490</v>
      </c>
      <c r="C64" s="44" t="s">
        <v>491</v>
      </c>
      <c r="D64" s="40" t="s">
        <v>391</v>
      </c>
      <c r="E64" s="83">
        <v>5</v>
      </c>
      <c r="F64" s="83"/>
      <c r="G64" s="83"/>
      <c r="H64" s="83"/>
      <c r="I64" s="83"/>
      <c r="J64" s="83"/>
      <c r="K64" s="41"/>
      <c r="L64" s="36"/>
      <c r="M64" s="36"/>
      <c r="N64" s="36"/>
      <c r="O64" s="36"/>
      <c r="P64" s="36"/>
      <c r="Q64" s="36"/>
      <c r="R64" s="36"/>
      <c r="S64" s="36"/>
      <c r="T64" s="36"/>
    </row>
    <row r="65" spans="1:20" s="173" customFormat="1" ht="23.25">
      <c r="A65" s="82" t="s">
        <v>129</v>
      </c>
      <c r="B65" s="38" t="s">
        <v>492</v>
      </c>
      <c r="C65" s="44" t="s">
        <v>493</v>
      </c>
      <c r="D65" s="40" t="s">
        <v>391</v>
      </c>
      <c r="E65" s="83">
        <v>2</v>
      </c>
      <c r="F65" s="83"/>
      <c r="G65" s="83"/>
      <c r="H65" s="83"/>
      <c r="I65" s="83"/>
      <c r="J65" s="83"/>
      <c r="K65" s="41"/>
      <c r="L65" s="36"/>
      <c r="M65" s="36"/>
      <c r="N65" s="36"/>
      <c r="O65" s="36"/>
      <c r="P65" s="36"/>
      <c r="Q65" s="36"/>
      <c r="R65" s="36"/>
      <c r="S65" s="36"/>
      <c r="T65" s="36"/>
    </row>
    <row r="66" spans="1:20" s="173" customFormat="1" ht="23.25">
      <c r="A66" s="82" t="s">
        <v>130</v>
      </c>
      <c r="B66" s="38" t="s">
        <v>492</v>
      </c>
      <c r="C66" s="44" t="s">
        <v>494</v>
      </c>
      <c r="D66" s="40" t="s">
        <v>391</v>
      </c>
      <c r="E66" s="83">
        <v>2</v>
      </c>
      <c r="F66" s="83"/>
      <c r="G66" s="83"/>
      <c r="H66" s="83"/>
      <c r="I66" s="83"/>
      <c r="J66" s="83"/>
      <c r="K66" s="41"/>
      <c r="L66" s="36"/>
      <c r="M66" s="36"/>
      <c r="N66" s="36"/>
      <c r="O66" s="36"/>
      <c r="P66" s="36"/>
      <c r="Q66" s="36"/>
      <c r="R66" s="36"/>
      <c r="S66" s="36"/>
      <c r="T66" s="36"/>
    </row>
    <row r="67" spans="1:20" s="173" customFormat="1" ht="14.25">
      <c r="A67" s="82" t="s">
        <v>131</v>
      </c>
      <c r="B67" s="38" t="s">
        <v>495</v>
      </c>
      <c r="C67" s="44" t="s">
        <v>496</v>
      </c>
      <c r="D67" s="40" t="s">
        <v>391</v>
      </c>
      <c r="E67" s="83">
        <v>1</v>
      </c>
      <c r="F67" s="83"/>
      <c r="G67" s="83"/>
      <c r="H67" s="83"/>
      <c r="I67" s="83"/>
      <c r="J67" s="83"/>
      <c r="K67" s="41"/>
      <c r="L67" s="36"/>
      <c r="M67" s="36"/>
      <c r="N67" s="36"/>
      <c r="O67" s="36"/>
      <c r="P67" s="36"/>
      <c r="Q67" s="36"/>
      <c r="R67" s="36"/>
      <c r="S67" s="36"/>
      <c r="T67" s="36"/>
    </row>
    <row r="68" spans="1:20" s="173" customFormat="1" ht="23.25">
      <c r="A68" s="82" t="s">
        <v>497</v>
      </c>
      <c r="B68" s="38" t="s">
        <v>498</v>
      </c>
      <c r="C68" s="44" t="s">
        <v>499</v>
      </c>
      <c r="D68" s="40" t="s">
        <v>391</v>
      </c>
      <c r="E68" s="83">
        <v>6</v>
      </c>
      <c r="F68" s="83"/>
      <c r="G68" s="83"/>
      <c r="H68" s="83"/>
      <c r="I68" s="83"/>
      <c r="J68" s="83"/>
      <c r="K68" s="41"/>
      <c r="L68" s="36"/>
      <c r="M68" s="36"/>
      <c r="N68" s="36"/>
      <c r="O68" s="36"/>
      <c r="P68" s="36"/>
      <c r="Q68" s="36"/>
      <c r="R68" s="36"/>
      <c r="S68" s="36"/>
      <c r="T68" s="36"/>
    </row>
    <row r="69" spans="1:20" s="173" customFormat="1" ht="23.25">
      <c r="A69" s="82" t="s">
        <v>500</v>
      </c>
      <c r="B69" s="38" t="s">
        <v>501</v>
      </c>
      <c r="C69" s="44" t="s">
        <v>502</v>
      </c>
      <c r="D69" s="40" t="s">
        <v>391</v>
      </c>
      <c r="E69" s="83">
        <v>1</v>
      </c>
      <c r="F69" s="83"/>
      <c r="G69" s="83"/>
      <c r="H69" s="83"/>
      <c r="I69" s="83"/>
      <c r="J69" s="83"/>
      <c r="K69" s="41"/>
      <c r="L69" s="36"/>
      <c r="M69" s="36"/>
      <c r="N69" s="36"/>
      <c r="O69" s="36"/>
      <c r="P69" s="36"/>
      <c r="Q69" s="36"/>
      <c r="R69" s="36"/>
      <c r="S69" s="36"/>
      <c r="T69" s="36"/>
    </row>
    <row r="70" spans="1:20" s="173" customFormat="1" ht="14.25">
      <c r="A70" s="82" t="s">
        <v>503</v>
      </c>
      <c r="B70" s="38" t="s">
        <v>486</v>
      </c>
      <c r="C70" s="44" t="s">
        <v>504</v>
      </c>
      <c r="D70" s="40" t="s">
        <v>391</v>
      </c>
      <c r="E70" s="83">
        <v>1</v>
      </c>
      <c r="F70" s="83"/>
      <c r="G70" s="83"/>
      <c r="H70" s="83"/>
      <c r="I70" s="83"/>
      <c r="J70" s="83"/>
      <c r="K70" s="41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173" customFormat="1" ht="14.25">
      <c r="A71" s="82" t="s">
        <v>505</v>
      </c>
      <c r="B71" s="120" t="s">
        <v>506</v>
      </c>
      <c r="C71" s="44" t="s">
        <v>507</v>
      </c>
      <c r="D71" s="40" t="s">
        <v>391</v>
      </c>
      <c r="E71" s="83">
        <v>4</v>
      </c>
      <c r="F71" s="83"/>
      <c r="G71" s="83"/>
      <c r="H71" s="83"/>
      <c r="I71" s="83"/>
      <c r="J71" s="83"/>
      <c r="K71" s="41"/>
      <c r="L71" s="36"/>
      <c r="M71" s="36"/>
      <c r="N71" s="36"/>
      <c r="O71" s="36"/>
      <c r="P71" s="36"/>
      <c r="Q71" s="36"/>
      <c r="R71" s="36"/>
      <c r="S71" s="36"/>
      <c r="T71" s="36"/>
    </row>
    <row r="72" spans="1:20" s="173" customFormat="1" ht="14.25">
      <c r="A72" s="82" t="s">
        <v>508</v>
      </c>
      <c r="B72" s="120" t="s">
        <v>509</v>
      </c>
      <c r="C72" s="44" t="s">
        <v>510</v>
      </c>
      <c r="D72" s="40" t="s">
        <v>391</v>
      </c>
      <c r="E72" s="41">
        <v>1</v>
      </c>
      <c r="F72" s="83"/>
      <c r="G72" s="83"/>
      <c r="H72" s="83"/>
      <c r="I72" s="83"/>
      <c r="J72" s="83"/>
      <c r="K72" s="41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173" customFormat="1" ht="14.25">
      <c r="A73" s="82" t="s">
        <v>511</v>
      </c>
      <c r="B73" s="38" t="s">
        <v>512</v>
      </c>
      <c r="C73" s="44" t="s">
        <v>513</v>
      </c>
      <c r="D73" s="40" t="s">
        <v>391</v>
      </c>
      <c r="E73" s="41">
        <v>2</v>
      </c>
      <c r="F73" s="83"/>
      <c r="G73" s="83"/>
      <c r="H73" s="83"/>
      <c r="I73" s="83"/>
      <c r="J73" s="83"/>
      <c r="K73" s="41"/>
      <c r="L73" s="36"/>
      <c r="M73" s="36"/>
      <c r="N73" s="36"/>
      <c r="O73" s="36"/>
      <c r="P73" s="36"/>
      <c r="Q73" s="36"/>
      <c r="R73" s="36"/>
      <c r="S73" s="36"/>
      <c r="T73" s="36"/>
    </row>
    <row r="74" spans="1:20" s="173" customFormat="1" ht="14.25">
      <c r="A74" s="82" t="s">
        <v>514</v>
      </c>
      <c r="B74" s="38" t="s">
        <v>515</v>
      </c>
      <c r="C74" s="47" t="s">
        <v>516</v>
      </c>
      <c r="D74" s="40" t="s">
        <v>391</v>
      </c>
      <c r="E74" s="41">
        <v>2</v>
      </c>
      <c r="F74" s="83"/>
      <c r="G74" s="83"/>
      <c r="H74" s="83"/>
      <c r="I74" s="83"/>
      <c r="J74" s="83"/>
      <c r="K74" s="41"/>
      <c r="L74" s="36"/>
      <c r="M74" s="36"/>
      <c r="N74" s="36"/>
      <c r="O74" s="36"/>
      <c r="P74" s="36"/>
      <c r="Q74" s="36"/>
      <c r="R74" s="36"/>
      <c r="S74" s="36"/>
      <c r="T74" s="36"/>
    </row>
    <row r="75" spans="1:20" s="173" customFormat="1" ht="15.75" customHeight="1">
      <c r="A75" s="67" t="s">
        <v>132</v>
      </c>
      <c r="B75" s="67"/>
      <c r="C75" s="67"/>
      <c r="D75" s="67"/>
      <c r="E75" s="67"/>
      <c r="F75" s="67"/>
      <c r="G75" s="67"/>
      <c r="H75" s="67"/>
      <c r="I75" s="67"/>
      <c r="J75" s="199"/>
      <c r="K75" s="199"/>
      <c r="L75" s="68"/>
      <c r="M75" s="36"/>
      <c r="N75" s="36"/>
      <c r="O75" s="36"/>
      <c r="P75" s="36"/>
      <c r="Q75" s="36"/>
      <c r="R75" s="36"/>
      <c r="S75" s="36"/>
      <c r="T75" s="36"/>
    </row>
    <row r="76" spans="1:22" s="181" customFormat="1" ht="14.25">
      <c r="A76" s="69" t="s">
        <v>133</v>
      </c>
      <c r="B76" s="85" t="s">
        <v>134</v>
      </c>
      <c r="C76" s="85"/>
      <c r="D76" s="85"/>
      <c r="E76" s="85"/>
      <c r="F76" s="85"/>
      <c r="G76" s="85"/>
      <c r="H76" s="85"/>
      <c r="I76" s="85"/>
      <c r="J76" s="85"/>
      <c r="K76" s="85"/>
      <c r="L76" s="71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2" s="194" customFormat="1" ht="23.25">
      <c r="A77" s="74" t="s">
        <v>135</v>
      </c>
      <c r="B77" s="120" t="s">
        <v>517</v>
      </c>
      <c r="C77" s="47" t="s">
        <v>518</v>
      </c>
      <c r="D77" s="75" t="s">
        <v>23</v>
      </c>
      <c r="E77" s="76">
        <v>323.71</v>
      </c>
      <c r="F77" s="41"/>
      <c r="G77" s="41"/>
      <c r="H77" s="41"/>
      <c r="I77" s="41"/>
      <c r="J77" s="77"/>
      <c r="K77" s="41"/>
      <c r="L77" s="71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1:22" s="194" customFormat="1" ht="23.25">
      <c r="A78" s="74" t="s">
        <v>136</v>
      </c>
      <c r="B78" s="120" t="s">
        <v>519</v>
      </c>
      <c r="C78" s="47" t="s">
        <v>520</v>
      </c>
      <c r="D78" s="75" t="s">
        <v>23</v>
      </c>
      <c r="E78" s="41">
        <f>323.71*1.005</f>
        <v>325.32854999999995</v>
      </c>
      <c r="F78" s="41"/>
      <c r="G78" s="41"/>
      <c r="H78" s="41"/>
      <c r="I78" s="41"/>
      <c r="J78" s="77"/>
      <c r="K78" s="41"/>
      <c r="L78" s="71"/>
      <c r="M78" s="72"/>
      <c r="N78" s="72"/>
      <c r="O78" s="72"/>
      <c r="P78" s="72"/>
      <c r="Q78" s="72"/>
      <c r="R78" s="72"/>
      <c r="S78" s="72"/>
      <c r="T78" s="72"/>
      <c r="U78" s="72"/>
      <c r="V78" s="72"/>
    </row>
    <row r="79" spans="1:22" s="194" customFormat="1" ht="14.25">
      <c r="A79" s="74" t="s">
        <v>137</v>
      </c>
      <c r="B79" s="120">
        <v>72104</v>
      </c>
      <c r="C79" s="47" t="s">
        <v>521</v>
      </c>
      <c r="D79" s="75" t="s">
        <v>189</v>
      </c>
      <c r="E79" s="41">
        <f>((17.19+0.67+11.56+2.45)*2)+29.29+9.84</f>
        <v>102.87</v>
      </c>
      <c r="F79" s="41"/>
      <c r="G79" s="41"/>
      <c r="H79" s="41"/>
      <c r="I79" s="41"/>
      <c r="J79" s="77"/>
      <c r="K79" s="41"/>
      <c r="L79" s="71"/>
      <c r="M79" s="72"/>
      <c r="N79" s="72"/>
      <c r="O79" s="72"/>
      <c r="P79" s="72"/>
      <c r="Q79" s="72"/>
      <c r="R79" s="72"/>
      <c r="S79" s="72"/>
      <c r="T79" s="72"/>
      <c r="U79" s="72"/>
      <c r="V79" s="72"/>
    </row>
    <row r="80" spans="1:22" s="194" customFormat="1" ht="14.25">
      <c r="A80" s="74" t="s">
        <v>138</v>
      </c>
      <c r="B80" s="120">
        <v>72106</v>
      </c>
      <c r="C80" s="46" t="s">
        <v>522</v>
      </c>
      <c r="D80" s="75" t="s">
        <v>189</v>
      </c>
      <c r="E80" s="41">
        <f>(7.57+7.57+7.57+7.57+10.42+10.42+7.26+7.26+21.14)*1.005</f>
        <v>87.2139</v>
      </c>
      <c r="F80" s="41"/>
      <c r="G80" s="41"/>
      <c r="H80" s="41"/>
      <c r="I80" s="41"/>
      <c r="J80" s="77"/>
      <c r="K80" s="41"/>
      <c r="L80" s="71"/>
      <c r="M80" s="72"/>
      <c r="N80" s="72"/>
      <c r="O80" s="72"/>
      <c r="P80" s="72"/>
      <c r="Q80" s="72"/>
      <c r="R80" s="72"/>
      <c r="S80" s="72"/>
      <c r="T80" s="72"/>
      <c r="U80" s="72"/>
      <c r="V80" s="72"/>
    </row>
    <row r="81" spans="1:22" s="194" customFormat="1" ht="14.25">
      <c r="A81" s="74" t="s">
        <v>139</v>
      </c>
      <c r="B81" s="120">
        <v>72104</v>
      </c>
      <c r="C81" s="46" t="s">
        <v>523</v>
      </c>
      <c r="D81" s="75" t="s">
        <v>189</v>
      </c>
      <c r="E81" s="76">
        <f>9.27+9.27+10.73+9.54+9.54</f>
        <v>48.35</v>
      </c>
      <c r="F81" s="41"/>
      <c r="G81" s="41"/>
      <c r="H81" s="41"/>
      <c r="I81" s="41"/>
      <c r="J81" s="77"/>
      <c r="K81" s="41"/>
      <c r="L81" s="71"/>
      <c r="M81" s="72"/>
      <c r="N81" s="72"/>
      <c r="O81" s="72"/>
      <c r="P81" s="72"/>
      <c r="Q81" s="72"/>
      <c r="R81" s="72"/>
      <c r="S81" s="72"/>
      <c r="T81" s="72"/>
      <c r="U81" s="72"/>
      <c r="V81" s="72"/>
    </row>
    <row r="82" spans="1:22" s="181" customFormat="1" ht="14.25" customHeight="1">
      <c r="A82" s="79" t="s">
        <v>145</v>
      </c>
      <c r="B82" s="79"/>
      <c r="C82" s="79"/>
      <c r="D82" s="79"/>
      <c r="E82" s="79"/>
      <c r="F82" s="79"/>
      <c r="G82" s="79"/>
      <c r="H82" s="79"/>
      <c r="I82" s="79"/>
      <c r="J82" s="199"/>
      <c r="K82" s="199"/>
      <c r="L82" s="193"/>
      <c r="M82" s="72"/>
      <c r="N82" s="72"/>
      <c r="O82" s="72"/>
      <c r="P82" s="72"/>
      <c r="Q82" s="72"/>
      <c r="R82" s="72"/>
      <c r="S82" s="72"/>
      <c r="T82" s="72"/>
      <c r="U82" s="72"/>
      <c r="V82" s="72"/>
    </row>
    <row r="83" spans="1:20" s="173" customFormat="1" ht="14.25" customHeight="1">
      <c r="A83" s="37" t="s">
        <v>146</v>
      </c>
      <c r="B83" s="55" t="s">
        <v>147</v>
      </c>
      <c r="C83" s="55"/>
      <c r="D83" s="55"/>
      <c r="E83" s="55"/>
      <c r="F83" s="55"/>
      <c r="G83" s="55"/>
      <c r="H83" s="55"/>
      <c r="I83" s="55"/>
      <c r="J83" s="55"/>
      <c r="K83" s="55"/>
      <c r="L83" s="68"/>
      <c r="M83" s="36"/>
      <c r="N83" s="200"/>
      <c r="O83" s="201"/>
      <c r="P83" s="36"/>
      <c r="Q83" s="36"/>
      <c r="R83" s="36"/>
      <c r="S83" s="36"/>
      <c r="T83" s="36"/>
    </row>
    <row r="84" spans="1:20" s="197" customFormat="1" ht="14.25">
      <c r="A84" s="86" t="s">
        <v>148</v>
      </c>
      <c r="B84" s="202" t="s">
        <v>524</v>
      </c>
      <c r="C84" s="89" t="s">
        <v>525</v>
      </c>
      <c r="D84" s="87" t="s">
        <v>189</v>
      </c>
      <c r="E84" s="88">
        <v>1169.45</v>
      </c>
      <c r="F84" s="89"/>
      <c r="G84" s="83"/>
      <c r="H84" s="89"/>
      <c r="I84" s="83"/>
      <c r="J84" s="83"/>
      <c r="K84" s="41"/>
      <c r="L84" s="90"/>
      <c r="M84" s="90"/>
      <c r="N84" s="200"/>
      <c r="O84" s="201"/>
      <c r="P84" s="90"/>
      <c r="Q84" s="90"/>
      <c r="R84" s="90"/>
      <c r="S84" s="90"/>
      <c r="T84" s="90"/>
    </row>
    <row r="85" spans="1:20" s="197" customFormat="1" ht="14.25">
      <c r="A85" s="86" t="s">
        <v>149</v>
      </c>
      <c r="B85" s="202" t="s">
        <v>526</v>
      </c>
      <c r="C85" s="44" t="s">
        <v>527</v>
      </c>
      <c r="D85" s="92" t="s">
        <v>189</v>
      </c>
      <c r="E85" s="93">
        <v>320.49</v>
      </c>
      <c r="F85" s="44"/>
      <c r="G85" s="41"/>
      <c r="H85" s="44"/>
      <c r="I85" s="41"/>
      <c r="J85" s="41"/>
      <c r="K85" s="41"/>
      <c r="L85" s="90"/>
      <c r="M85" s="90"/>
      <c r="N85" s="200"/>
      <c r="O85" s="201"/>
      <c r="P85" s="90"/>
      <c r="Q85" s="90"/>
      <c r="R85" s="90"/>
      <c r="S85" s="90"/>
      <c r="T85" s="90"/>
    </row>
    <row r="86" spans="1:20" s="197" customFormat="1" ht="14.25">
      <c r="A86" s="86" t="s">
        <v>150</v>
      </c>
      <c r="B86" s="202" t="s">
        <v>528</v>
      </c>
      <c r="C86" s="44" t="s">
        <v>529</v>
      </c>
      <c r="D86" s="92" t="s">
        <v>189</v>
      </c>
      <c r="E86" s="93">
        <v>47.15</v>
      </c>
      <c r="F86" s="44"/>
      <c r="G86" s="41"/>
      <c r="H86" s="44"/>
      <c r="I86" s="41"/>
      <c r="J86" s="41"/>
      <c r="K86" s="41"/>
      <c r="L86" s="90"/>
      <c r="M86" s="90"/>
      <c r="N86" s="90"/>
      <c r="O86" s="90"/>
      <c r="P86" s="90"/>
      <c r="Q86" s="90"/>
      <c r="R86" s="90"/>
      <c r="S86" s="90"/>
      <c r="T86" s="90"/>
    </row>
    <row r="87" spans="1:20" s="197" customFormat="1" ht="14.25">
      <c r="A87" s="86" t="s">
        <v>151</v>
      </c>
      <c r="B87" s="203"/>
      <c r="C87" s="44" t="s">
        <v>530</v>
      </c>
      <c r="D87" s="40" t="s">
        <v>391</v>
      </c>
      <c r="E87" s="41">
        <v>55</v>
      </c>
      <c r="F87" s="41"/>
      <c r="G87" s="41"/>
      <c r="H87" s="41"/>
      <c r="I87" s="41"/>
      <c r="J87" s="41"/>
      <c r="K87" s="41"/>
      <c r="L87" s="90"/>
      <c r="M87" s="90"/>
      <c r="N87" s="90"/>
      <c r="O87" s="90"/>
      <c r="P87" s="90"/>
      <c r="Q87" s="90"/>
      <c r="R87" s="90"/>
      <c r="S87" s="90"/>
      <c r="T87" s="90"/>
    </row>
    <row r="88" spans="1:20" s="197" customFormat="1" ht="14.25">
      <c r="A88" s="86" t="s">
        <v>152</v>
      </c>
      <c r="B88" s="203"/>
      <c r="C88" s="204" t="s">
        <v>531</v>
      </c>
      <c r="D88" s="177" t="s">
        <v>391</v>
      </c>
      <c r="E88" s="205">
        <v>59</v>
      </c>
      <c r="F88" s="41"/>
      <c r="G88" s="41"/>
      <c r="H88" s="206"/>
      <c r="I88" s="41"/>
      <c r="J88" s="41"/>
      <c r="K88" s="41"/>
      <c r="L88" s="90"/>
      <c r="M88" s="90"/>
      <c r="N88" s="90"/>
      <c r="O88" s="90"/>
      <c r="P88" s="90"/>
      <c r="Q88" s="90"/>
      <c r="R88" s="90"/>
      <c r="S88" s="90"/>
      <c r="T88" s="90"/>
    </row>
    <row r="89" spans="1:20" s="197" customFormat="1" ht="14.25">
      <c r="A89" s="86" t="s">
        <v>153</v>
      </c>
      <c r="B89" s="207"/>
      <c r="C89" s="44" t="s">
        <v>532</v>
      </c>
      <c r="D89" s="40" t="s">
        <v>189</v>
      </c>
      <c r="E89" s="41">
        <v>250.43</v>
      </c>
      <c r="F89" s="41"/>
      <c r="G89" s="41"/>
      <c r="H89" s="41"/>
      <c r="I89" s="41"/>
      <c r="J89" s="41"/>
      <c r="K89" s="41"/>
      <c r="L89" s="90"/>
      <c r="M89" s="90"/>
      <c r="N89" s="200"/>
      <c r="O89" s="201"/>
      <c r="P89" s="90"/>
      <c r="Q89" s="90"/>
      <c r="R89" s="90"/>
      <c r="S89" s="90"/>
      <c r="T89" s="90"/>
    </row>
    <row r="90" spans="1:20" s="197" customFormat="1" ht="14.25">
      <c r="A90" s="86" t="s">
        <v>154</v>
      </c>
      <c r="B90" s="203"/>
      <c r="C90" s="44" t="s">
        <v>533</v>
      </c>
      <c r="D90" s="40" t="s">
        <v>189</v>
      </c>
      <c r="E90" s="41">
        <v>75</v>
      </c>
      <c r="F90" s="41"/>
      <c r="G90" s="41"/>
      <c r="H90" s="41"/>
      <c r="I90" s="41"/>
      <c r="J90" s="41"/>
      <c r="K90" s="41"/>
      <c r="L90" s="90"/>
      <c r="M90" s="90"/>
      <c r="N90" s="200"/>
      <c r="O90" s="201"/>
      <c r="P90" s="90"/>
      <c r="Q90" s="90"/>
      <c r="R90" s="90"/>
      <c r="S90" s="90"/>
      <c r="T90" s="90"/>
    </row>
    <row r="91" spans="1:20" s="197" customFormat="1" ht="14.25">
      <c r="A91" s="86" t="s">
        <v>155</v>
      </c>
      <c r="B91" s="202">
        <v>7529</v>
      </c>
      <c r="C91" s="44" t="s">
        <v>534</v>
      </c>
      <c r="D91" s="40" t="s">
        <v>391</v>
      </c>
      <c r="E91" s="41">
        <v>33</v>
      </c>
      <c r="F91" s="41"/>
      <c r="G91" s="41"/>
      <c r="H91" s="41"/>
      <c r="I91" s="41"/>
      <c r="J91" s="41"/>
      <c r="K91" s="41"/>
      <c r="L91" s="90"/>
      <c r="M91" s="90"/>
      <c r="N91" s="208"/>
      <c r="O91" s="201"/>
      <c r="P91" s="90"/>
      <c r="Q91" s="90"/>
      <c r="R91" s="90"/>
      <c r="S91" s="90"/>
      <c r="T91" s="90"/>
    </row>
    <row r="92" spans="1:20" s="197" customFormat="1" ht="14.25">
      <c r="A92" s="86" t="s">
        <v>156</v>
      </c>
      <c r="B92" s="203"/>
      <c r="C92" s="44" t="s">
        <v>535</v>
      </c>
      <c r="D92" s="40" t="s">
        <v>391</v>
      </c>
      <c r="E92" s="41">
        <v>6</v>
      </c>
      <c r="F92" s="41"/>
      <c r="G92" s="41"/>
      <c r="H92" s="41"/>
      <c r="I92" s="41"/>
      <c r="J92" s="41"/>
      <c r="K92" s="41"/>
      <c r="L92" s="90"/>
      <c r="M92" s="90"/>
      <c r="N92" s="209"/>
      <c r="O92" s="201"/>
      <c r="P92" s="90"/>
      <c r="Q92" s="90"/>
      <c r="R92" s="90"/>
      <c r="S92" s="90"/>
      <c r="T92" s="90"/>
    </row>
    <row r="93" spans="1:20" s="197" customFormat="1" ht="14.25">
      <c r="A93" s="86" t="s">
        <v>157</v>
      </c>
      <c r="B93" s="203"/>
      <c r="C93" s="44" t="s">
        <v>536</v>
      </c>
      <c r="D93" s="40" t="s">
        <v>391</v>
      </c>
      <c r="E93" s="41">
        <v>1</v>
      </c>
      <c r="F93" s="41"/>
      <c r="G93" s="41"/>
      <c r="H93" s="41"/>
      <c r="I93" s="41"/>
      <c r="J93" s="41"/>
      <c r="K93" s="41"/>
      <c r="L93" s="90"/>
      <c r="M93" s="90"/>
      <c r="N93" s="200"/>
      <c r="O93" s="200"/>
      <c r="P93" s="201"/>
      <c r="Q93" s="90"/>
      <c r="R93" s="90"/>
      <c r="S93" s="90"/>
      <c r="T93" s="90"/>
    </row>
    <row r="94" spans="1:20" s="197" customFormat="1" ht="14.25">
      <c r="A94" s="86" t="s">
        <v>537</v>
      </c>
      <c r="B94" s="210">
        <v>72331</v>
      </c>
      <c r="C94" s="44" t="s">
        <v>538</v>
      </c>
      <c r="D94" s="40" t="s">
        <v>391</v>
      </c>
      <c r="E94" s="41">
        <v>10</v>
      </c>
      <c r="F94" s="41"/>
      <c r="G94" s="41"/>
      <c r="H94" s="41"/>
      <c r="I94" s="41"/>
      <c r="J94" s="41"/>
      <c r="K94" s="41"/>
      <c r="L94" s="90"/>
      <c r="M94" s="90"/>
      <c r="N94" s="200"/>
      <c r="O94" s="200"/>
      <c r="P94" s="201"/>
      <c r="Q94" s="90"/>
      <c r="R94" s="90"/>
      <c r="S94" s="90"/>
      <c r="T94" s="90"/>
    </row>
    <row r="95" spans="1:20" s="197" customFormat="1" ht="14.25">
      <c r="A95" s="86" t="s">
        <v>539</v>
      </c>
      <c r="B95" s="210">
        <v>72332</v>
      </c>
      <c r="C95" s="44" t="s">
        <v>540</v>
      </c>
      <c r="D95" s="40" t="s">
        <v>391</v>
      </c>
      <c r="E95" s="41">
        <v>5</v>
      </c>
      <c r="F95" s="41"/>
      <c r="G95" s="41"/>
      <c r="H95" s="41"/>
      <c r="I95" s="41"/>
      <c r="J95" s="41"/>
      <c r="K95" s="41"/>
      <c r="L95" s="90"/>
      <c r="M95" s="90"/>
      <c r="N95" s="200"/>
      <c r="O95" s="201"/>
      <c r="P95" s="90"/>
      <c r="Q95" s="90"/>
      <c r="R95" s="90"/>
      <c r="S95" s="90"/>
      <c r="T95" s="90"/>
    </row>
    <row r="96" spans="1:20" s="197" customFormat="1" ht="14.25">
      <c r="A96" s="86" t="s">
        <v>541</v>
      </c>
      <c r="B96" s="203"/>
      <c r="C96" s="211" t="s">
        <v>542</v>
      </c>
      <c r="D96" s="177" t="s">
        <v>391</v>
      </c>
      <c r="E96" s="41">
        <v>45</v>
      </c>
      <c r="F96" s="211"/>
      <c r="G96" s="41"/>
      <c r="H96" s="41"/>
      <c r="I96" s="41"/>
      <c r="J96" s="41"/>
      <c r="K96" s="41"/>
      <c r="L96" s="90"/>
      <c r="M96" s="90"/>
      <c r="N96" s="200"/>
      <c r="O96" s="212"/>
      <c r="P96" s="213"/>
      <c r="Q96" s="90"/>
      <c r="R96" s="90"/>
      <c r="S96" s="90"/>
      <c r="T96" s="90"/>
    </row>
    <row r="97" spans="1:20" s="197" customFormat="1" ht="14.25">
      <c r="A97" s="86" t="s">
        <v>543</v>
      </c>
      <c r="B97" s="203"/>
      <c r="C97" s="39" t="s">
        <v>544</v>
      </c>
      <c r="D97" s="40" t="s">
        <v>391</v>
      </c>
      <c r="E97" s="41">
        <v>26</v>
      </c>
      <c r="F97" s="39"/>
      <c r="G97" s="41"/>
      <c r="H97" s="39"/>
      <c r="I97" s="41"/>
      <c r="J97" s="41"/>
      <c r="K97" s="41"/>
      <c r="L97" s="90"/>
      <c r="M97" s="90"/>
      <c r="N97" s="200"/>
      <c r="O97" s="212"/>
      <c r="P97" s="213"/>
      <c r="Q97" s="90"/>
      <c r="R97" s="90"/>
      <c r="S97" s="90"/>
      <c r="T97" s="90"/>
    </row>
    <row r="98" spans="1:20" s="197" customFormat="1" ht="14.25">
      <c r="A98" s="86" t="s">
        <v>545</v>
      </c>
      <c r="B98" s="214" t="s">
        <v>546</v>
      </c>
      <c r="C98" s="39" t="s">
        <v>547</v>
      </c>
      <c r="D98" s="40" t="s">
        <v>391</v>
      </c>
      <c r="E98" s="41">
        <v>7</v>
      </c>
      <c r="F98" s="41"/>
      <c r="G98" s="41"/>
      <c r="H98" s="39"/>
      <c r="I98" s="41"/>
      <c r="J98" s="41"/>
      <c r="K98" s="41"/>
      <c r="L98" s="90"/>
      <c r="M98" s="90"/>
      <c r="N98" s="200"/>
      <c r="O98" s="201"/>
      <c r="P98" s="90"/>
      <c r="Q98" s="90"/>
      <c r="R98" s="90"/>
      <c r="S98" s="90"/>
      <c r="T98" s="90"/>
    </row>
    <row r="99" spans="1:20" s="197" customFormat="1" ht="14.25">
      <c r="A99" s="86" t="s">
        <v>548</v>
      </c>
      <c r="B99" s="214" t="s">
        <v>546</v>
      </c>
      <c r="C99" s="39" t="s">
        <v>549</v>
      </c>
      <c r="D99" s="40" t="s">
        <v>391</v>
      </c>
      <c r="E99" s="41">
        <v>5</v>
      </c>
      <c r="F99" s="41"/>
      <c r="G99" s="41"/>
      <c r="H99" s="39"/>
      <c r="I99" s="41"/>
      <c r="J99" s="41"/>
      <c r="K99" s="41"/>
      <c r="L99" s="90"/>
      <c r="M99" s="90"/>
      <c r="N99" s="200"/>
      <c r="O99" s="201"/>
      <c r="P99" s="90"/>
      <c r="Q99" s="90"/>
      <c r="R99" s="90"/>
      <c r="S99" s="90"/>
      <c r="T99" s="90"/>
    </row>
    <row r="100" spans="1:20" s="197" customFormat="1" ht="14.25">
      <c r="A100" s="86" t="s">
        <v>550</v>
      </c>
      <c r="B100" s="214" t="s">
        <v>551</v>
      </c>
      <c r="C100" s="39" t="s">
        <v>552</v>
      </c>
      <c r="D100" s="40" t="s">
        <v>391</v>
      </c>
      <c r="E100" s="41">
        <v>1</v>
      </c>
      <c r="F100" s="41"/>
      <c r="G100" s="41"/>
      <c r="H100" s="39"/>
      <c r="I100" s="41"/>
      <c r="J100" s="41"/>
      <c r="K100" s="41"/>
      <c r="L100" s="90"/>
      <c r="M100" s="90"/>
      <c r="N100" s="200"/>
      <c r="O100" s="201"/>
      <c r="P100" s="90"/>
      <c r="Q100" s="90"/>
      <c r="R100" s="90"/>
      <c r="S100" s="90"/>
      <c r="T100" s="90"/>
    </row>
    <row r="101" spans="1:20" s="197" customFormat="1" ht="14.25">
      <c r="A101" s="86" t="s">
        <v>553</v>
      </c>
      <c r="B101" s="214" t="s">
        <v>551</v>
      </c>
      <c r="C101" s="39" t="s">
        <v>554</v>
      </c>
      <c r="D101" s="40" t="s">
        <v>391</v>
      </c>
      <c r="E101" s="41">
        <v>1</v>
      </c>
      <c r="F101" s="41"/>
      <c r="G101" s="41"/>
      <c r="H101" s="39"/>
      <c r="I101" s="41"/>
      <c r="J101" s="41"/>
      <c r="K101" s="41"/>
      <c r="L101" s="90"/>
      <c r="M101" s="90"/>
      <c r="N101" s="200"/>
      <c r="O101" s="201"/>
      <c r="P101" s="90"/>
      <c r="Q101" s="90"/>
      <c r="R101" s="90"/>
      <c r="S101" s="90"/>
      <c r="T101" s="90"/>
    </row>
    <row r="102" spans="1:20" s="197" customFormat="1" ht="14.25">
      <c r="A102" s="86" t="s">
        <v>555</v>
      </c>
      <c r="B102" s="203"/>
      <c r="C102" s="211" t="s">
        <v>556</v>
      </c>
      <c r="D102" s="177" t="s">
        <v>391</v>
      </c>
      <c r="E102" s="41">
        <v>5</v>
      </c>
      <c r="F102" s="41"/>
      <c r="G102" s="41"/>
      <c r="H102" s="211"/>
      <c r="I102" s="41"/>
      <c r="J102" s="41"/>
      <c r="K102" s="41"/>
      <c r="L102" s="90"/>
      <c r="M102" s="90"/>
      <c r="N102" s="200"/>
      <c r="O102" s="201"/>
      <c r="P102" s="90"/>
      <c r="Q102" s="90"/>
      <c r="R102" s="90"/>
      <c r="S102" s="90"/>
      <c r="T102" s="90"/>
    </row>
    <row r="103" spans="1:20" s="197" customFormat="1" ht="14.25">
      <c r="A103" s="86" t="s">
        <v>557</v>
      </c>
      <c r="B103" s="215" t="s">
        <v>558</v>
      </c>
      <c r="C103" s="39" t="s">
        <v>559</v>
      </c>
      <c r="D103" s="40" t="s">
        <v>391</v>
      </c>
      <c r="E103" s="41">
        <v>1</v>
      </c>
      <c r="F103" s="41"/>
      <c r="G103" s="41"/>
      <c r="H103" s="39"/>
      <c r="I103" s="41"/>
      <c r="J103" s="41"/>
      <c r="K103" s="41"/>
      <c r="L103" s="90"/>
      <c r="M103" s="90"/>
      <c r="N103" s="200"/>
      <c r="O103" s="201"/>
      <c r="P103" s="90"/>
      <c r="Q103" s="90"/>
      <c r="R103" s="90"/>
      <c r="S103" s="90"/>
      <c r="T103" s="90"/>
    </row>
    <row r="104" spans="1:20" ht="14.25">
      <c r="A104" s="67" t="s">
        <v>158</v>
      </c>
      <c r="B104" s="67"/>
      <c r="C104" s="67"/>
      <c r="D104" s="67"/>
      <c r="E104" s="67"/>
      <c r="F104" s="67"/>
      <c r="G104" s="67"/>
      <c r="H104" s="67"/>
      <c r="I104" s="67"/>
      <c r="J104" s="199"/>
      <c r="K104" s="175"/>
      <c r="L104" s="36"/>
      <c r="M104" s="36"/>
      <c r="N104" s="200"/>
      <c r="O104" s="201"/>
      <c r="P104" s="36"/>
      <c r="Q104" s="36"/>
      <c r="R104" s="36"/>
      <c r="S104" s="36"/>
      <c r="T104" s="36"/>
    </row>
    <row r="105" spans="1:20" s="173" customFormat="1" ht="14.25">
      <c r="A105" s="34" t="s">
        <v>159</v>
      </c>
      <c r="B105" s="95" t="s">
        <v>160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36"/>
      <c r="M105" s="36"/>
      <c r="N105" s="216"/>
      <c r="O105" s="201"/>
      <c r="P105" s="36"/>
      <c r="Q105" s="36"/>
      <c r="R105" s="36"/>
      <c r="S105" s="36"/>
      <c r="T105" s="36"/>
    </row>
    <row r="106" spans="1:20" s="173" customFormat="1" ht="14.25">
      <c r="A106" s="37" t="s">
        <v>161</v>
      </c>
      <c r="B106" s="37"/>
      <c r="C106" s="217" t="s">
        <v>560</v>
      </c>
      <c r="D106" s="96" t="s">
        <v>189</v>
      </c>
      <c r="E106" s="218">
        <v>102.89</v>
      </c>
      <c r="F106" s="41"/>
      <c r="G106" s="41"/>
      <c r="H106" s="41"/>
      <c r="I106" s="41"/>
      <c r="J106" s="41"/>
      <c r="K106" s="41"/>
      <c r="L106" s="36"/>
      <c r="M106" s="36"/>
      <c r="N106" s="216"/>
      <c r="O106" s="201"/>
      <c r="P106" s="36"/>
      <c r="Q106" s="36"/>
      <c r="R106" s="36"/>
      <c r="S106" s="36"/>
      <c r="T106" s="36"/>
    </row>
    <row r="107" spans="1:20" s="173" customFormat="1" ht="14.25">
      <c r="A107" s="37" t="s">
        <v>162</v>
      </c>
      <c r="B107" s="37"/>
      <c r="C107" s="217" t="s">
        <v>561</v>
      </c>
      <c r="D107" s="96" t="s">
        <v>391</v>
      </c>
      <c r="E107" s="218">
        <v>25</v>
      </c>
      <c r="F107" s="99"/>
      <c r="G107" s="41"/>
      <c r="H107" s="99"/>
      <c r="I107" s="41"/>
      <c r="J107" s="41"/>
      <c r="K107" s="41"/>
      <c r="L107" s="36"/>
      <c r="M107" s="36"/>
      <c r="N107" s="216"/>
      <c r="O107" s="201"/>
      <c r="P107" s="36"/>
      <c r="Q107" s="36"/>
      <c r="R107" s="36"/>
      <c r="S107" s="36"/>
      <c r="T107" s="36"/>
    </row>
    <row r="108" spans="1:20" s="173" customFormat="1" ht="14.25">
      <c r="A108" s="37" t="s">
        <v>163</v>
      </c>
      <c r="B108" s="37"/>
      <c r="C108" s="217" t="s">
        <v>562</v>
      </c>
      <c r="D108" s="96" t="s">
        <v>391</v>
      </c>
      <c r="E108" s="218">
        <v>18</v>
      </c>
      <c r="F108" s="99"/>
      <c r="G108" s="41"/>
      <c r="H108" s="99"/>
      <c r="I108" s="41"/>
      <c r="J108" s="41"/>
      <c r="K108" s="41"/>
      <c r="L108" s="36"/>
      <c r="M108" s="36"/>
      <c r="N108" s="216"/>
      <c r="O108" s="201"/>
      <c r="P108" s="36"/>
      <c r="Q108" s="36"/>
      <c r="R108" s="36"/>
      <c r="S108" s="36"/>
      <c r="T108" s="36"/>
    </row>
    <row r="109" spans="1:20" s="173" customFormat="1" ht="23.25">
      <c r="A109" s="37" t="s">
        <v>164</v>
      </c>
      <c r="B109" s="37"/>
      <c r="C109" s="219" t="s">
        <v>563</v>
      </c>
      <c r="D109" s="96" t="s">
        <v>391</v>
      </c>
      <c r="E109" s="218">
        <v>1</v>
      </c>
      <c r="F109" s="99"/>
      <c r="G109" s="220"/>
      <c r="H109" s="99"/>
      <c r="I109" s="220"/>
      <c r="J109" s="220"/>
      <c r="K109" s="41"/>
      <c r="L109" s="36"/>
      <c r="M109" s="36"/>
      <c r="N109" s="216"/>
      <c r="O109" s="201"/>
      <c r="P109" s="36"/>
      <c r="Q109" s="36"/>
      <c r="R109" s="36"/>
      <c r="S109" s="36"/>
      <c r="T109" s="36"/>
    </row>
    <row r="110" spans="1:20" s="173" customFormat="1" ht="14.25">
      <c r="A110" s="37" t="s">
        <v>165</v>
      </c>
      <c r="B110" s="37"/>
      <c r="C110" s="217" t="s">
        <v>564</v>
      </c>
      <c r="D110" s="96" t="s">
        <v>189</v>
      </c>
      <c r="E110" s="218">
        <v>111.8</v>
      </c>
      <c r="F110" s="99"/>
      <c r="G110" s="41"/>
      <c r="H110" s="99"/>
      <c r="I110" s="41"/>
      <c r="J110" s="41"/>
      <c r="K110" s="41"/>
      <c r="L110" s="36"/>
      <c r="M110" s="36"/>
      <c r="N110" s="216"/>
      <c r="O110" s="201"/>
      <c r="P110" s="36"/>
      <c r="Q110" s="36"/>
      <c r="R110" s="36"/>
      <c r="S110" s="36"/>
      <c r="T110" s="36"/>
    </row>
    <row r="111" spans="1:20" s="173" customFormat="1" ht="14.25">
      <c r="A111" s="37" t="s">
        <v>166</v>
      </c>
      <c r="B111" s="37"/>
      <c r="C111" s="221" t="s">
        <v>565</v>
      </c>
      <c r="D111" s="222" t="s">
        <v>189</v>
      </c>
      <c r="E111" s="223">
        <v>262.84</v>
      </c>
      <c r="F111" s="224"/>
      <c r="G111" s="41"/>
      <c r="H111" s="224"/>
      <c r="I111" s="41"/>
      <c r="J111" s="41"/>
      <c r="K111" s="41"/>
      <c r="L111" s="36"/>
      <c r="M111" s="36"/>
      <c r="N111" s="216"/>
      <c r="O111" s="201"/>
      <c r="P111" s="36"/>
      <c r="Q111" s="36"/>
      <c r="R111" s="36"/>
      <c r="S111" s="36"/>
      <c r="T111" s="36"/>
    </row>
    <row r="112" spans="1:20" s="173" customFormat="1" ht="14.25">
      <c r="A112" s="37" t="s">
        <v>167</v>
      </c>
      <c r="B112" s="37"/>
      <c r="C112" s="44" t="s">
        <v>530</v>
      </c>
      <c r="D112" s="40" t="s">
        <v>391</v>
      </c>
      <c r="E112" s="178">
        <v>43</v>
      </c>
      <c r="F112" s="41"/>
      <c r="G112" s="41"/>
      <c r="H112" s="41"/>
      <c r="I112" s="41"/>
      <c r="J112" s="41"/>
      <c r="K112" s="41"/>
      <c r="L112" s="36"/>
      <c r="M112" s="36"/>
      <c r="N112" s="216"/>
      <c r="O112" s="201"/>
      <c r="P112" s="36"/>
      <c r="Q112" s="36"/>
      <c r="R112" s="36"/>
      <c r="S112" s="36"/>
      <c r="T112" s="36"/>
    </row>
    <row r="113" spans="1:20" s="173" customFormat="1" ht="14.25">
      <c r="A113" s="100" t="s">
        <v>171</v>
      </c>
      <c r="B113" s="100"/>
      <c r="C113" s="100"/>
      <c r="D113" s="100"/>
      <c r="E113" s="100"/>
      <c r="F113" s="100"/>
      <c r="G113" s="100"/>
      <c r="H113" s="100"/>
      <c r="I113" s="100"/>
      <c r="J113" s="225"/>
      <c r="K113" s="225"/>
      <c r="L113" s="36"/>
      <c r="M113" s="36"/>
      <c r="N113" s="216"/>
      <c r="O113" s="201"/>
      <c r="P113" s="36"/>
      <c r="Q113" s="36"/>
      <c r="R113" s="36"/>
      <c r="S113" s="36"/>
      <c r="T113" s="36"/>
    </row>
    <row r="114" spans="1:20" s="173" customFormat="1" ht="14.25">
      <c r="A114" s="34" t="s">
        <v>172</v>
      </c>
      <c r="B114" s="102" t="s">
        <v>173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36"/>
      <c r="M114" s="36"/>
      <c r="N114" s="216"/>
      <c r="O114" s="226"/>
      <c r="P114" s="227"/>
      <c r="Q114" s="36"/>
      <c r="R114" s="36"/>
      <c r="S114" s="36"/>
      <c r="T114" s="36"/>
    </row>
    <row r="115" spans="1:20" s="173" customFormat="1" ht="14.25">
      <c r="A115" s="37" t="s">
        <v>174</v>
      </c>
      <c r="B115" s="210" t="s">
        <v>194</v>
      </c>
      <c r="C115" s="211" t="s">
        <v>566</v>
      </c>
      <c r="D115" s="177" t="s">
        <v>189</v>
      </c>
      <c r="E115" s="41">
        <v>121.22</v>
      </c>
      <c r="F115" s="41"/>
      <c r="G115" s="41"/>
      <c r="H115" s="41"/>
      <c r="I115" s="41"/>
      <c r="J115" s="41"/>
      <c r="K115" s="41"/>
      <c r="L115" s="36"/>
      <c r="M115" s="36"/>
      <c r="N115" s="216"/>
      <c r="O115" s="226"/>
      <c r="P115" s="227"/>
      <c r="Q115" s="36"/>
      <c r="R115" s="36"/>
      <c r="S115" s="36"/>
      <c r="T115" s="36"/>
    </row>
    <row r="116" spans="1:20" s="173" customFormat="1" ht="14.25">
      <c r="A116" s="37" t="s">
        <v>175</v>
      </c>
      <c r="B116" s="210" t="s">
        <v>567</v>
      </c>
      <c r="C116" s="211" t="s">
        <v>568</v>
      </c>
      <c r="D116" s="177" t="s">
        <v>189</v>
      </c>
      <c r="E116" s="41">
        <v>7.5</v>
      </c>
      <c r="F116" s="41"/>
      <c r="G116" s="41"/>
      <c r="H116" s="41"/>
      <c r="I116" s="41"/>
      <c r="J116" s="41"/>
      <c r="K116" s="41"/>
      <c r="L116" s="36"/>
      <c r="M116" s="36"/>
      <c r="N116" s="208"/>
      <c r="O116" s="201"/>
      <c r="P116" s="227"/>
      <c r="Q116" s="36"/>
      <c r="R116" s="36"/>
      <c r="S116" s="36"/>
      <c r="T116" s="36"/>
    </row>
    <row r="117" spans="1:20" s="173" customFormat="1" ht="14.25">
      <c r="A117" s="37" t="s">
        <v>176</v>
      </c>
      <c r="B117" s="210" t="s">
        <v>569</v>
      </c>
      <c r="C117" s="211" t="s">
        <v>570</v>
      </c>
      <c r="D117" s="177" t="s">
        <v>189</v>
      </c>
      <c r="E117" s="41">
        <v>14.05</v>
      </c>
      <c r="F117" s="41"/>
      <c r="G117" s="41"/>
      <c r="H117" s="41"/>
      <c r="I117" s="41"/>
      <c r="J117" s="41"/>
      <c r="K117" s="41"/>
      <c r="L117" s="36"/>
      <c r="M117" s="36"/>
      <c r="N117" s="200"/>
      <c r="O117" s="201"/>
      <c r="P117" s="227"/>
      <c r="Q117" s="36"/>
      <c r="R117" s="36"/>
      <c r="S117" s="36"/>
      <c r="T117" s="36"/>
    </row>
    <row r="118" spans="1:20" s="173" customFormat="1" ht="14.25">
      <c r="A118" s="37" t="s">
        <v>177</v>
      </c>
      <c r="B118" s="210" t="s">
        <v>571</v>
      </c>
      <c r="C118" s="211" t="s">
        <v>572</v>
      </c>
      <c r="D118" s="177" t="s">
        <v>189</v>
      </c>
      <c r="E118" s="41">
        <v>6</v>
      </c>
      <c r="F118" s="41"/>
      <c r="G118" s="41"/>
      <c r="H118" s="41"/>
      <c r="I118" s="41"/>
      <c r="J118" s="41"/>
      <c r="K118" s="41"/>
      <c r="L118" s="36"/>
      <c r="M118" s="36"/>
      <c r="N118" s="200"/>
      <c r="O118" s="201"/>
      <c r="P118" s="227"/>
      <c r="Q118" s="36"/>
      <c r="R118" s="36"/>
      <c r="S118" s="36"/>
      <c r="T118" s="36"/>
    </row>
    <row r="119" spans="1:20" s="173" customFormat="1" ht="14.25">
      <c r="A119" s="37" t="s">
        <v>178</v>
      </c>
      <c r="B119" s="210" t="s">
        <v>573</v>
      </c>
      <c r="C119" s="211" t="s">
        <v>574</v>
      </c>
      <c r="D119" s="177" t="s">
        <v>189</v>
      </c>
      <c r="E119" s="41">
        <v>36.84</v>
      </c>
      <c r="F119" s="41"/>
      <c r="G119" s="41"/>
      <c r="H119" s="41"/>
      <c r="I119" s="41"/>
      <c r="J119" s="41"/>
      <c r="K119" s="41"/>
      <c r="L119" s="36"/>
      <c r="M119" s="36"/>
      <c r="N119" s="200"/>
      <c r="O119" s="201"/>
      <c r="P119" s="227"/>
      <c r="Q119" s="36"/>
      <c r="R119" s="36"/>
      <c r="S119" s="36"/>
      <c r="T119" s="36"/>
    </row>
    <row r="120" spans="1:20" s="173" customFormat="1" ht="14.25">
      <c r="A120" s="37" t="s">
        <v>179</v>
      </c>
      <c r="B120" s="210" t="s">
        <v>575</v>
      </c>
      <c r="C120" s="211" t="s">
        <v>576</v>
      </c>
      <c r="D120" s="177" t="s">
        <v>189</v>
      </c>
      <c r="E120" s="41">
        <v>8.7</v>
      </c>
      <c r="F120" s="41"/>
      <c r="G120" s="41"/>
      <c r="H120" s="41"/>
      <c r="I120" s="41"/>
      <c r="J120" s="41"/>
      <c r="K120" s="41"/>
      <c r="L120" s="36"/>
      <c r="M120" s="36"/>
      <c r="N120" s="200"/>
      <c r="O120" s="201"/>
      <c r="P120" s="227"/>
      <c r="Q120" s="36"/>
      <c r="R120" s="36"/>
      <c r="S120" s="36"/>
      <c r="T120" s="36"/>
    </row>
    <row r="121" spans="1:20" s="173" customFormat="1" ht="14.25">
      <c r="A121" s="37" t="s">
        <v>180</v>
      </c>
      <c r="B121" s="210" t="s">
        <v>577</v>
      </c>
      <c r="C121" s="211" t="s">
        <v>578</v>
      </c>
      <c r="D121" s="177" t="s">
        <v>189</v>
      </c>
      <c r="E121" s="41">
        <v>11.6</v>
      </c>
      <c r="F121" s="41"/>
      <c r="G121" s="41"/>
      <c r="H121" s="41"/>
      <c r="I121" s="41"/>
      <c r="J121" s="41"/>
      <c r="K121" s="41"/>
      <c r="L121" s="36"/>
      <c r="M121" s="36"/>
      <c r="N121" s="200"/>
      <c r="O121" s="201"/>
      <c r="P121" s="227"/>
      <c r="Q121" s="36"/>
      <c r="R121" s="36"/>
      <c r="S121" s="36"/>
      <c r="T121" s="36"/>
    </row>
    <row r="122" spans="1:20" s="173" customFormat="1" ht="14.25">
      <c r="A122" s="37" t="s">
        <v>181</v>
      </c>
      <c r="B122" s="210" t="s">
        <v>579</v>
      </c>
      <c r="C122" s="211" t="s">
        <v>580</v>
      </c>
      <c r="D122" s="177" t="s">
        <v>189</v>
      </c>
      <c r="E122" s="41">
        <v>10.98</v>
      </c>
      <c r="F122" s="41"/>
      <c r="G122" s="41"/>
      <c r="H122" s="41"/>
      <c r="I122" s="41"/>
      <c r="J122" s="41"/>
      <c r="K122" s="41"/>
      <c r="L122" s="36"/>
      <c r="M122" s="36"/>
      <c r="N122" s="200"/>
      <c r="O122" s="201"/>
      <c r="P122" s="227"/>
      <c r="Q122" s="36"/>
      <c r="R122" s="36"/>
      <c r="S122" s="36"/>
      <c r="T122" s="36"/>
    </row>
    <row r="123" spans="1:20" s="173" customFormat="1" ht="14.25">
      <c r="A123" s="37" t="s">
        <v>182</v>
      </c>
      <c r="B123" s="210">
        <v>72557</v>
      </c>
      <c r="C123" s="211" t="s">
        <v>581</v>
      </c>
      <c r="D123" s="177" t="s">
        <v>391</v>
      </c>
      <c r="E123" s="41">
        <v>8</v>
      </c>
      <c r="F123" s="41"/>
      <c r="G123" s="41"/>
      <c r="H123" s="41"/>
      <c r="I123" s="41"/>
      <c r="J123" s="41"/>
      <c r="K123" s="41"/>
      <c r="L123" s="36"/>
      <c r="M123" s="36"/>
      <c r="N123" s="200"/>
      <c r="O123" s="201"/>
      <c r="P123" s="227"/>
      <c r="Q123" s="36"/>
      <c r="R123" s="36"/>
      <c r="S123" s="36"/>
      <c r="T123" s="36"/>
    </row>
    <row r="124" spans="1:20" s="173" customFormat="1" ht="14.25">
      <c r="A124" s="37" t="s">
        <v>183</v>
      </c>
      <c r="B124" s="210">
        <v>72564</v>
      </c>
      <c r="C124" s="211" t="s">
        <v>582</v>
      </c>
      <c r="D124" s="177" t="s">
        <v>391</v>
      </c>
      <c r="E124" s="41">
        <v>2</v>
      </c>
      <c r="F124" s="41"/>
      <c r="G124" s="41"/>
      <c r="H124" s="41"/>
      <c r="I124" s="41"/>
      <c r="J124" s="41"/>
      <c r="K124" s="41"/>
      <c r="L124" s="36"/>
      <c r="M124" s="36"/>
      <c r="N124" s="200"/>
      <c r="O124" s="201"/>
      <c r="P124" s="228"/>
      <c r="Q124" s="36"/>
      <c r="R124" s="36"/>
      <c r="S124" s="36"/>
      <c r="T124" s="36"/>
    </row>
    <row r="125" spans="1:20" s="173" customFormat="1" ht="14.25">
      <c r="A125" s="37" t="s">
        <v>184</v>
      </c>
      <c r="B125" s="210">
        <v>72562</v>
      </c>
      <c r="C125" s="211" t="s">
        <v>583</v>
      </c>
      <c r="D125" s="177" t="s">
        <v>391</v>
      </c>
      <c r="E125" s="41">
        <v>2</v>
      </c>
      <c r="F125" s="41"/>
      <c r="G125" s="41"/>
      <c r="H125" s="41"/>
      <c r="I125" s="41"/>
      <c r="J125" s="41"/>
      <c r="K125" s="41"/>
      <c r="L125" s="36"/>
      <c r="M125" s="36"/>
      <c r="N125" s="200"/>
      <c r="O125" s="201"/>
      <c r="P125" s="227"/>
      <c r="Q125" s="36"/>
      <c r="R125" s="36"/>
      <c r="S125" s="36"/>
      <c r="T125" s="36"/>
    </row>
    <row r="126" spans="1:20" s="173" customFormat="1" ht="14.25">
      <c r="A126" s="37" t="s">
        <v>226</v>
      </c>
      <c r="B126" s="202">
        <v>72561</v>
      </c>
      <c r="C126" s="211" t="s">
        <v>584</v>
      </c>
      <c r="D126" s="177" t="s">
        <v>391</v>
      </c>
      <c r="E126" s="41">
        <v>7</v>
      </c>
      <c r="F126" s="41"/>
      <c r="G126" s="41"/>
      <c r="H126" s="41"/>
      <c r="I126" s="41"/>
      <c r="J126" s="41"/>
      <c r="K126" s="41"/>
      <c r="L126" s="36"/>
      <c r="M126" s="36"/>
      <c r="N126" s="208"/>
      <c r="O126" s="201"/>
      <c r="P126" s="228"/>
      <c r="Q126" s="36"/>
      <c r="R126" s="36"/>
      <c r="S126" s="36"/>
      <c r="T126" s="36"/>
    </row>
    <row r="127" spans="1:20" s="173" customFormat="1" ht="14.25">
      <c r="A127" s="37" t="s">
        <v>236</v>
      </c>
      <c r="B127" s="202">
        <v>72560</v>
      </c>
      <c r="C127" s="211" t="s">
        <v>585</v>
      </c>
      <c r="D127" s="177" t="s">
        <v>391</v>
      </c>
      <c r="E127" s="41">
        <v>10</v>
      </c>
      <c r="F127" s="41"/>
      <c r="G127" s="41"/>
      <c r="H127" s="41"/>
      <c r="I127" s="41"/>
      <c r="J127" s="41"/>
      <c r="K127" s="41"/>
      <c r="L127" s="36"/>
      <c r="M127" s="36"/>
      <c r="N127" s="200"/>
      <c r="O127" s="201"/>
      <c r="P127" s="228"/>
      <c r="Q127" s="36"/>
      <c r="R127" s="36"/>
      <c r="S127" s="36"/>
      <c r="T127" s="36"/>
    </row>
    <row r="128" spans="1:20" s="173" customFormat="1" ht="14.25">
      <c r="A128" s="37" t="s">
        <v>586</v>
      </c>
      <c r="B128" s="202">
        <v>72573</v>
      </c>
      <c r="C128" s="211" t="s">
        <v>587</v>
      </c>
      <c r="D128" s="177" t="s">
        <v>391</v>
      </c>
      <c r="E128" s="41">
        <v>12</v>
      </c>
      <c r="F128" s="41"/>
      <c r="G128" s="41"/>
      <c r="H128" s="41"/>
      <c r="I128" s="41"/>
      <c r="J128" s="41"/>
      <c r="K128" s="41"/>
      <c r="L128" s="36"/>
      <c r="M128" s="36"/>
      <c r="N128" s="200"/>
      <c r="O128" s="201"/>
      <c r="P128" s="228"/>
      <c r="Q128" s="36"/>
      <c r="R128" s="36"/>
      <c r="S128" s="36"/>
      <c r="T128" s="36"/>
    </row>
    <row r="129" spans="1:20" s="173" customFormat="1" ht="14.25">
      <c r="A129" s="37" t="s">
        <v>588</v>
      </c>
      <c r="B129" s="202">
        <v>72580</v>
      </c>
      <c r="C129" s="211" t="s">
        <v>589</v>
      </c>
      <c r="D129" s="177" t="s">
        <v>391</v>
      </c>
      <c r="E129" s="41">
        <v>7</v>
      </c>
      <c r="F129" s="41"/>
      <c r="G129" s="41"/>
      <c r="H129" s="41"/>
      <c r="I129" s="41"/>
      <c r="J129" s="41"/>
      <c r="K129" s="41"/>
      <c r="L129" s="36"/>
      <c r="M129" s="36"/>
      <c r="N129" s="200"/>
      <c r="O129" s="201"/>
      <c r="P129" s="228"/>
      <c r="Q129" s="36"/>
      <c r="R129" s="36"/>
      <c r="S129" s="36"/>
      <c r="T129" s="36"/>
    </row>
    <row r="130" spans="1:20" s="173" customFormat="1" ht="14.25">
      <c r="A130" s="37" t="s">
        <v>590</v>
      </c>
      <c r="B130" s="229"/>
      <c r="C130" s="211" t="s">
        <v>591</v>
      </c>
      <c r="D130" s="177" t="s">
        <v>391</v>
      </c>
      <c r="E130" s="41">
        <v>3</v>
      </c>
      <c r="F130" s="41"/>
      <c r="G130" s="41"/>
      <c r="H130" s="41"/>
      <c r="I130" s="41"/>
      <c r="J130" s="41"/>
      <c r="K130" s="41"/>
      <c r="L130" s="36"/>
      <c r="M130" s="36"/>
      <c r="N130" s="208"/>
      <c r="O130" s="201"/>
      <c r="P130" s="228"/>
      <c r="Q130" s="36"/>
      <c r="R130" s="36"/>
      <c r="S130" s="36"/>
      <c r="T130" s="36"/>
    </row>
    <row r="131" spans="1:20" s="173" customFormat="1" ht="14.25">
      <c r="A131" s="37" t="s">
        <v>592</v>
      </c>
      <c r="B131" s="229"/>
      <c r="C131" s="211" t="s">
        <v>593</v>
      </c>
      <c r="D131" s="177" t="s">
        <v>391</v>
      </c>
      <c r="E131" s="41">
        <v>5</v>
      </c>
      <c r="F131" s="41"/>
      <c r="G131" s="41"/>
      <c r="H131" s="41"/>
      <c r="I131" s="41"/>
      <c r="J131" s="41"/>
      <c r="K131" s="41"/>
      <c r="L131" s="36"/>
      <c r="M131" s="36"/>
      <c r="N131" s="200"/>
      <c r="O131" s="201"/>
      <c r="P131" s="227"/>
      <c r="Q131" s="36"/>
      <c r="R131" s="36"/>
      <c r="S131" s="36"/>
      <c r="T131" s="36"/>
    </row>
    <row r="132" spans="1:20" s="173" customFormat="1" ht="14.25">
      <c r="A132" s="37" t="s">
        <v>594</v>
      </c>
      <c r="B132" s="229"/>
      <c r="C132" s="211" t="s">
        <v>595</v>
      </c>
      <c r="D132" s="177" t="s">
        <v>391</v>
      </c>
      <c r="E132" s="41">
        <v>4</v>
      </c>
      <c r="F132" s="41"/>
      <c r="G132" s="41"/>
      <c r="H132" s="41"/>
      <c r="I132" s="41"/>
      <c r="J132" s="41"/>
      <c r="K132" s="41"/>
      <c r="L132" s="36"/>
      <c r="M132" s="36"/>
      <c r="N132" s="200"/>
      <c r="O132" s="201"/>
      <c r="P132" s="227"/>
      <c r="Q132" s="36"/>
      <c r="R132" s="36"/>
      <c r="S132" s="36"/>
      <c r="T132" s="36"/>
    </row>
    <row r="133" spans="1:20" s="173" customFormat="1" ht="14.25">
      <c r="A133" s="37" t="s">
        <v>596</v>
      </c>
      <c r="B133" s="229"/>
      <c r="C133" s="211" t="s">
        <v>597</v>
      </c>
      <c r="D133" s="177" t="s">
        <v>391</v>
      </c>
      <c r="E133" s="41">
        <v>6</v>
      </c>
      <c r="F133" s="41"/>
      <c r="G133" s="41"/>
      <c r="H133" s="41"/>
      <c r="I133" s="41"/>
      <c r="J133" s="41"/>
      <c r="K133" s="41"/>
      <c r="L133" s="36"/>
      <c r="M133" s="36"/>
      <c r="N133" s="200"/>
      <c r="O133" s="201"/>
      <c r="P133" s="228"/>
      <c r="Q133" s="36"/>
      <c r="R133" s="36"/>
      <c r="S133" s="36"/>
      <c r="T133" s="36"/>
    </row>
    <row r="134" spans="1:20" s="173" customFormat="1" ht="14.25">
      <c r="A134" s="37" t="s">
        <v>598</v>
      </c>
      <c r="B134" s="229"/>
      <c r="C134" s="211" t="s">
        <v>599</v>
      </c>
      <c r="D134" s="177" t="s">
        <v>391</v>
      </c>
      <c r="E134" s="41">
        <v>2</v>
      </c>
      <c r="F134" s="41"/>
      <c r="G134" s="41"/>
      <c r="H134" s="41"/>
      <c r="I134" s="41"/>
      <c r="J134" s="41"/>
      <c r="K134" s="41"/>
      <c r="L134" s="36"/>
      <c r="M134" s="36"/>
      <c r="N134" s="200"/>
      <c r="O134" s="201"/>
      <c r="P134" s="228"/>
      <c r="Q134" s="36"/>
      <c r="R134" s="36"/>
      <c r="S134" s="36"/>
      <c r="T134" s="36"/>
    </row>
    <row r="135" spans="1:20" s="173" customFormat="1" ht="14.25">
      <c r="A135" s="37" t="s">
        <v>600</v>
      </c>
      <c r="B135" s="229"/>
      <c r="C135" s="211" t="s">
        <v>601</v>
      </c>
      <c r="D135" s="177" t="s">
        <v>391</v>
      </c>
      <c r="E135" s="41">
        <v>2</v>
      </c>
      <c r="F135" s="41"/>
      <c r="G135" s="41"/>
      <c r="H135" s="41"/>
      <c r="I135" s="41"/>
      <c r="J135" s="41"/>
      <c r="K135" s="41"/>
      <c r="L135" s="36"/>
      <c r="M135" s="36"/>
      <c r="N135" s="200"/>
      <c r="O135" s="201"/>
      <c r="P135" s="228"/>
      <c r="Q135" s="36"/>
      <c r="R135" s="36"/>
      <c r="S135" s="36"/>
      <c r="T135" s="36"/>
    </row>
    <row r="136" spans="1:20" s="173" customFormat="1" ht="14.25">
      <c r="A136" s="37" t="s">
        <v>602</v>
      </c>
      <c r="B136" s="229"/>
      <c r="C136" s="211" t="s">
        <v>603</v>
      </c>
      <c r="D136" s="177" t="s">
        <v>391</v>
      </c>
      <c r="E136" s="41">
        <v>2</v>
      </c>
      <c r="F136" s="41"/>
      <c r="G136" s="41"/>
      <c r="H136" s="41"/>
      <c r="I136" s="41"/>
      <c r="J136" s="41"/>
      <c r="K136" s="41"/>
      <c r="L136" s="36"/>
      <c r="M136" s="36"/>
      <c r="N136" s="200"/>
      <c r="O136" s="201"/>
      <c r="P136" s="227"/>
      <c r="Q136" s="36"/>
      <c r="R136" s="36"/>
      <c r="S136" s="36"/>
      <c r="T136" s="36"/>
    </row>
    <row r="137" spans="1:20" s="173" customFormat="1" ht="14.25">
      <c r="A137" s="37" t="s">
        <v>604</v>
      </c>
      <c r="B137" s="229"/>
      <c r="C137" s="211" t="s">
        <v>605</v>
      </c>
      <c r="D137" s="177" t="s">
        <v>391</v>
      </c>
      <c r="E137" s="41">
        <v>3</v>
      </c>
      <c r="F137" s="41"/>
      <c r="G137" s="41"/>
      <c r="H137" s="41"/>
      <c r="I137" s="41"/>
      <c r="J137" s="41"/>
      <c r="K137" s="41"/>
      <c r="L137" s="36"/>
      <c r="M137" s="36"/>
      <c r="N137" s="200"/>
      <c r="O137" s="201"/>
      <c r="P137" s="228"/>
      <c r="Q137" s="36"/>
      <c r="R137" s="36"/>
      <c r="S137" s="36"/>
      <c r="T137" s="36"/>
    </row>
    <row r="138" spans="1:20" s="173" customFormat="1" ht="14.25">
      <c r="A138" s="37" t="s">
        <v>606</v>
      </c>
      <c r="B138" s="229"/>
      <c r="C138" s="230" t="s">
        <v>607</v>
      </c>
      <c r="D138" s="177" t="s">
        <v>391</v>
      </c>
      <c r="E138" s="41">
        <v>5</v>
      </c>
      <c r="F138" s="41"/>
      <c r="G138" s="41"/>
      <c r="H138" s="41"/>
      <c r="I138" s="41"/>
      <c r="J138" s="41"/>
      <c r="K138" s="41"/>
      <c r="L138" s="36"/>
      <c r="M138" s="36"/>
      <c r="N138" s="200"/>
      <c r="O138" s="201"/>
      <c r="P138" s="227"/>
      <c r="Q138" s="36"/>
      <c r="R138" s="36"/>
      <c r="S138" s="36"/>
      <c r="T138" s="36"/>
    </row>
    <row r="139" spans="1:20" s="173" customFormat="1" ht="14.25">
      <c r="A139" s="37" t="s">
        <v>608</v>
      </c>
      <c r="B139" s="229"/>
      <c r="C139" s="230" t="s">
        <v>609</v>
      </c>
      <c r="D139" s="177" t="s">
        <v>391</v>
      </c>
      <c r="E139" s="41">
        <v>4</v>
      </c>
      <c r="F139" s="41"/>
      <c r="G139" s="41"/>
      <c r="H139" s="41"/>
      <c r="I139" s="41"/>
      <c r="J139" s="41"/>
      <c r="K139" s="41"/>
      <c r="L139" s="36"/>
      <c r="M139" s="36"/>
      <c r="N139" s="200"/>
      <c r="O139" s="201"/>
      <c r="P139" s="227"/>
      <c r="Q139" s="36"/>
      <c r="R139" s="36"/>
      <c r="S139" s="36"/>
      <c r="T139" s="36"/>
    </row>
    <row r="140" spans="1:20" s="173" customFormat="1" ht="14.25">
      <c r="A140" s="37" t="s">
        <v>610</v>
      </c>
      <c r="B140" s="231" t="s">
        <v>611</v>
      </c>
      <c r="C140" s="230" t="s">
        <v>612</v>
      </c>
      <c r="D140" s="177" t="s">
        <v>391</v>
      </c>
      <c r="E140" s="41">
        <v>4</v>
      </c>
      <c r="F140" s="41"/>
      <c r="G140" s="41"/>
      <c r="H140" s="41"/>
      <c r="I140" s="41"/>
      <c r="J140" s="41"/>
      <c r="K140" s="41"/>
      <c r="L140" s="36"/>
      <c r="M140" s="36"/>
      <c r="N140" s="232"/>
      <c r="O140" s="201"/>
      <c r="P140" s="227"/>
      <c r="Q140" s="36"/>
      <c r="R140" s="36"/>
      <c r="S140" s="36"/>
      <c r="T140" s="36"/>
    </row>
    <row r="141" spans="1:20" s="173" customFormat="1" ht="14.25">
      <c r="A141" s="37" t="s">
        <v>613</v>
      </c>
      <c r="B141" s="229"/>
      <c r="C141" s="211" t="s">
        <v>614</v>
      </c>
      <c r="D141" s="177" t="s">
        <v>391</v>
      </c>
      <c r="E141" s="41">
        <v>2</v>
      </c>
      <c r="F141" s="41"/>
      <c r="G141" s="41"/>
      <c r="H141" s="41"/>
      <c r="I141" s="41"/>
      <c r="J141" s="41"/>
      <c r="K141" s="41"/>
      <c r="L141" s="36"/>
      <c r="M141" s="36"/>
      <c r="N141" s="200"/>
      <c r="O141" s="201"/>
      <c r="P141" s="227"/>
      <c r="Q141" s="36"/>
      <c r="R141" s="36"/>
      <c r="S141" s="36"/>
      <c r="T141" s="36"/>
    </row>
    <row r="142" spans="1:20" s="173" customFormat="1" ht="14.25">
      <c r="A142" s="37" t="s">
        <v>615</v>
      </c>
      <c r="B142" s="229"/>
      <c r="C142" s="211" t="s">
        <v>616</v>
      </c>
      <c r="D142" s="177" t="s">
        <v>391</v>
      </c>
      <c r="E142" s="41">
        <v>2</v>
      </c>
      <c r="F142" s="41"/>
      <c r="G142" s="41"/>
      <c r="H142" s="41"/>
      <c r="I142" s="41"/>
      <c r="J142" s="41"/>
      <c r="K142" s="41"/>
      <c r="L142" s="36"/>
      <c r="M142" s="36"/>
      <c r="N142" s="200"/>
      <c r="O142" s="201"/>
      <c r="P142" s="227"/>
      <c r="Q142" s="36"/>
      <c r="R142" s="36"/>
      <c r="S142" s="36"/>
      <c r="T142" s="36"/>
    </row>
    <row r="143" spans="1:20" s="173" customFormat="1" ht="14.25">
      <c r="A143" s="37" t="s">
        <v>617</v>
      </c>
      <c r="B143" s="229"/>
      <c r="C143" s="211" t="s">
        <v>618</v>
      </c>
      <c r="D143" s="177" t="s">
        <v>391</v>
      </c>
      <c r="E143" s="41">
        <v>2</v>
      </c>
      <c r="F143" s="41"/>
      <c r="G143" s="41"/>
      <c r="H143" s="41"/>
      <c r="I143" s="41"/>
      <c r="J143" s="41"/>
      <c r="K143" s="41"/>
      <c r="L143" s="36"/>
      <c r="M143" s="36"/>
      <c r="N143" s="200"/>
      <c r="O143" s="201"/>
      <c r="P143" s="227"/>
      <c r="Q143" s="36"/>
      <c r="R143" s="36"/>
      <c r="S143" s="36"/>
      <c r="T143" s="36"/>
    </row>
    <row r="144" spans="1:20" s="173" customFormat="1" ht="14.25">
      <c r="A144" s="37" t="s">
        <v>619</v>
      </c>
      <c r="B144" s="229"/>
      <c r="C144" s="211" t="s">
        <v>620</v>
      </c>
      <c r="D144" s="177" t="s">
        <v>391</v>
      </c>
      <c r="E144" s="41">
        <v>4</v>
      </c>
      <c r="F144" s="41"/>
      <c r="G144" s="41"/>
      <c r="H144" s="41"/>
      <c r="I144" s="41"/>
      <c r="J144" s="41"/>
      <c r="K144" s="41"/>
      <c r="L144" s="36"/>
      <c r="M144" s="36"/>
      <c r="N144" s="200"/>
      <c r="O144" s="201"/>
      <c r="P144" s="227"/>
      <c r="Q144" s="36"/>
      <c r="R144" s="36"/>
      <c r="S144" s="36"/>
      <c r="T144" s="36"/>
    </row>
    <row r="145" spans="1:20" s="173" customFormat="1" ht="14.25">
      <c r="A145" s="37" t="s">
        <v>621</v>
      </c>
      <c r="B145" s="229"/>
      <c r="C145" s="211" t="s">
        <v>622</v>
      </c>
      <c r="D145" s="177" t="s">
        <v>391</v>
      </c>
      <c r="E145" s="41">
        <v>2</v>
      </c>
      <c r="F145" s="41"/>
      <c r="G145" s="41"/>
      <c r="H145" s="41"/>
      <c r="I145" s="41"/>
      <c r="J145" s="41"/>
      <c r="K145" s="41"/>
      <c r="L145" s="36"/>
      <c r="M145" s="36"/>
      <c r="N145" s="200"/>
      <c r="O145" s="233"/>
      <c r="P145" s="227"/>
      <c r="Q145" s="36"/>
      <c r="R145" s="36"/>
      <c r="S145" s="36"/>
      <c r="T145" s="36"/>
    </row>
    <row r="146" spans="1:20" s="173" customFormat="1" ht="14.25">
      <c r="A146" s="37" t="s">
        <v>623</v>
      </c>
      <c r="B146" s="229"/>
      <c r="C146" s="211" t="s">
        <v>624</v>
      </c>
      <c r="D146" s="177" t="s">
        <v>391</v>
      </c>
      <c r="E146" s="41">
        <v>2</v>
      </c>
      <c r="F146" s="41"/>
      <c r="G146" s="41"/>
      <c r="H146" s="41"/>
      <c r="I146" s="41"/>
      <c r="J146" s="41"/>
      <c r="K146" s="41"/>
      <c r="L146" s="36"/>
      <c r="M146" s="36"/>
      <c r="N146" s="200"/>
      <c r="O146" s="233"/>
      <c r="P146" s="227"/>
      <c r="Q146" s="36"/>
      <c r="R146" s="36"/>
      <c r="S146" s="36"/>
      <c r="T146" s="36"/>
    </row>
    <row r="147" spans="1:20" s="173" customFormat="1" ht="14.25">
      <c r="A147" s="37" t="s">
        <v>625</v>
      </c>
      <c r="B147" s="229"/>
      <c r="C147" s="211" t="s">
        <v>626</v>
      </c>
      <c r="D147" s="177" t="s">
        <v>391</v>
      </c>
      <c r="E147" s="41">
        <v>1</v>
      </c>
      <c r="F147" s="41"/>
      <c r="G147" s="41"/>
      <c r="H147" s="41"/>
      <c r="I147" s="41"/>
      <c r="J147" s="41"/>
      <c r="K147" s="41"/>
      <c r="L147" s="36"/>
      <c r="M147" s="36"/>
      <c r="N147" s="200"/>
      <c r="O147" s="233"/>
      <c r="P147" s="228"/>
      <c r="Q147" s="36"/>
      <c r="R147" s="36"/>
      <c r="S147" s="36"/>
      <c r="T147" s="36"/>
    </row>
    <row r="148" spans="1:20" s="173" customFormat="1" ht="14.25">
      <c r="A148" s="37" t="s">
        <v>627</v>
      </c>
      <c r="B148" s="229"/>
      <c r="C148" s="211" t="s">
        <v>628</v>
      </c>
      <c r="D148" s="177" t="s">
        <v>391</v>
      </c>
      <c r="E148" s="41">
        <v>11</v>
      </c>
      <c r="F148" s="41"/>
      <c r="G148" s="41"/>
      <c r="H148" s="41"/>
      <c r="I148" s="41"/>
      <c r="J148" s="41"/>
      <c r="K148" s="41"/>
      <c r="L148" s="36"/>
      <c r="M148" s="36"/>
      <c r="N148" s="200"/>
      <c r="O148" s="233"/>
      <c r="P148" s="228"/>
      <c r="Q148" s="36"/>
      <c r="R148" s="36"/>
      <c r="S148" s="36"/>
      <c r="T148" s="36"/>
    </row>
    <row r="149" spans="1:20" s="173" customFormat="1" ht="14.25">
      <c r="A149" s="37" t="s">
        <v>629</v>
      </c>
      <c r="B149" s="229"/>
      <c r="C149" s="211" t="s">
        <v>630</v>
      </c>
      <c r="D149" s="177" t="s">
        <v>391</v>
      </c>
      <c r="E149" s="41">
        <v>6</v>
      </c>
      <c r="F149" s="41"/>
      <c r="G149" s="41"/>
      <c r="H149" s="41"/>
      <c r="I149" s="41"/>
      <c r="J149" s="41"/>
      <c r="K149" s="41"/>
      <c r="L149" s="36"/>
      <c r="M149" s="36"/>
      <c r="N149" s="232"/>
      <c r="O149" s="233"/>
      <c r="P149" s="228"/>
      <c r="Q149" s="36"/>
      <c r="R149" s="36"/>
      <c r="S149" s="36"/>
      <c r="T149" s="36"/>
    </row>
    <row r="150" spans="1:20" s="173" customFormat="1" ht="14.25">
      <c r="A150" s="37" t="s">
        <v>631</v>
      </c>
      <c r="B150" s="229"/>
      <c r="C150" s="211" t="s">
        <v>632</v>
      </c>
      <c r="D150" s="177" t="s">
        <v>391</v>
      </c>
      <c r="E150" s="41">
        <v>2</v>
      </c>
      <c r="F150" s="41"/>
      <c r="G150" s="41"/>
      <c r="H150" s="41"/>
      <c r="I150" s="41"/>
      <c r="J150" s="41"/>
      <c r="K150" s="41"/>
      <c r="L150" s="36"/>
      <c r="M150" s="36"/>
      <c r="N150" s="200"/>
      <c r="O150" s="201"/>
      <c r="P150" s="228"/>
      <c r="Q150" s="36"/>
      <c r="R150" s="36"/>
      <c r="S150" s="36"/>
      <c r="T150" s="36"/>
    </row>
    <row r="151" spans="1:20" s="236" customFormat="1" ht="14.25">
      <c r="A151" s="37" t="s">
        <v>633</v>
      </c>
      <c r="B151" s="195" t="s">
        <v>634</v>
      </c>
      <c r="C151" s="234" t="s">
        <v>635</v>
      </c>
      <c r="D151" s="184" t="s">
        <v>391</v>
      </c>
      <c r="E151" s="83">
        <v>1</v>
      </c>
      <c r="F151" s="235"/>
      <c r="G151" s="235"/>
      <c r="H151" s="235"/>
      <c r="I151" s="235"/>
      <c r="J151" s="235"/>
      <c r="K151" s="235"/>
      <c r="L151" s="213"/>
      <c r="M151" s="213"/>
      <c r="N151" s="200"/>
      <c r="O151" s="233"/>
      <c r="P151" s="227"/>
      <c r="Q151" s="213"/>
      <c r="R151" s="213"/>
      <c r="S151" s="213"/>
      <c r="T151" s="213"/>
    </row>
    <row r="152" spans="1:20" s="173" customFormat="1" ht="14.25">
      <c r="A152" s="37" t="s">
        <v>636</v>
      </c>
      <c r="B152" s="229"/>
      <c r="C152" s="211" t="s">
        <v>637</v>
      </c>
      <c r="D152" s="177" t="s">
        <v>391</v>
      </c>
      <c r="E152" s="41">
        <v>4</v>
      </c>
      <c r="F152" s="41"/>
      <c r="G152" s="41"/>
      <c r="H152" s="41"/>
      <c r="I152" s="41"/>
      <c r="J152" s="41"/>
      <c r="K152" s="41"/>
      <c r="L152" s="36"/>
      <c r="M152" s="36"/>
      <c r="N152" s="200"/>
      <c r="O152" s="233"/>
      <c r="P152" s="237"/>
      <c r="Q152" s="36"/>
      <c r="R152" s="36"/>
      <c r="S152" s="36"/>
      <c r="T152" s="36"/>
    </row>
    <row r="153" spans="1:20" s="173" customFormat="1" ht="14.25">
      <c r="A153" s="37" t="s">
        <v>638</v>
      </c>
      <c r="B153" s="229"/>
      <c r="C153" s="211" t="s">
        <v>639</v>
      </c>
      <c r="D153" s="177" t="s">
        <v>391</v>
      </c>
      <c r="E153" s="41">
        <v>4</v>
      </c>
      <c r="F153" s="41"/>
      <c r="G153" s="41"/>
      <c r="H153" s="41"/>
      <c r="I153" s="41"/>
      <c r="J153" s="41"/>
      <c r="K153" s="41"/>
      <c r="L153" s="36"/>
      <c r="M153" s="36"/>
      <c r="N153" s="200"/>
      <c r="O153" s="201"/>
      <c r="P153" s="238"/>
      <c r="Q153" s="36"/>
      <c r="R153" s="36"/>
      <c r="S153" s="36"/>
      <c r="T153" s="36"/>
    </row>
    <row r="154" spans="1:20" s="173" customFormat="1" ht="14.25">
      <c r="A154" s="37" t="s">
        <v>640</v>
      </c>
      <c r="B154" s="229"/>
      <c r="C154" s="211" t="s">
        <v>641</v>
      </c>
      <c r="D154" s="177" t="s">
        <v>391</v>
      </c>
      <c r="E154" s="41">
        <v>6</v>
      </c>
      <c r="F154" s="41"/>
      <c r="G154" s="41"/>
      <c r="H154" s="41"/>
      <c r="I154" s="41"/>
      <c r="J154" s="41"/>
      <c r="K154" s="41"/>
      <c r="L154" s="36"/>
      <c r="M154" s="36"/>
      <c r="N154" s="200"/>
      <c r="O154" s="201"/>
      <c r="P154" s="238"/>
      <c r="Q154" s="36"/>
      <c r="R154" s="36"/>
      <c r="S154" s="36"/>
      <c r="T154" s="36"/>
    </row>
    <row r="155" spans="1:20" s="173" customFormat="1" ht="14.25">
      <c r="A155" s="37" t="s">
        <v>642</v>
      </c>
      <c r="B155" s="229"/>
      <c r="C155" s="211" t="s">
        <v>643</v>
      </c>
      <c r="D155" s="177" t="s">
        <v>391</v>
      </c>
      <c r="E155" s="41">
        <v>7</v>
      </c>
      <c r="F155" s="41"/>
      <c r="G155" s="41"/>
      <c r="H155" s="41"/>
      <c r="I155" s="41"/>
      <c r="J155" s="41"/>
      <c r="K155" s="41"/>
      <c r="L155" s="36"/>
      <c r="M155" s="36"/>
      <c r="N155" s="200"/>
      <c r="O155" s="201"/>
      <c r="P155" s="237"/>
      <c r="Q155" s="36"/>
      <c r="R155" s="36"/>
      <c r="S155" s="36"/>
      <c r="T155" s="36"/>
    </row>
    <row r="156" spans="1:20" s="197" customFormat="1" ht="14.25">
      <c r="A156" s="86" t="s">
        <v>644</v>
      </c>
      <c r="B156" s="239" t="s">
        <v>645</v>
      </c>
      <c r="C156" s="240" t="s">
        <v>646</v>
      </c>
      <c r="D156" s="196" t="s">
        <v>189</v>
      </c>
      <c r="E156" s="241">
        <v>25.5</v>
      </c>
      <c r="F156" s="83"/>
      <c r="G156" s="83"/>
      <c r="H156" s="83"/>
      <c r="I156" s="83"/>
      <c r="J156" s="83"/>
      <c r="K156" s="83"/>
      <c r="L156" s="90"/>
      <c r="M156" s="90"/>
      <c r="N156" s="200"/>
      <c r="O156" s="201"/>
      <c r="P156" s="242"/>
      <c r="Q156" s="90"/>
      <c r="R156" s="90"/>
      <c r="S156" s="90"/>
      <c r="T156" s="90"/>
    </row>
    <row r="157" spans="1:22" ht="14.25">
      <c r="A157" s="67" t="s">
        <v>272</v>
      </c>
      <c r="B157" s="67"/>
      <c r="C157" s="67"/>
      <c r="D157" s="67"/>
      <c r="E157" s="67"/>
      <c r="F157" s="67"/>
      <c r="G157" s="67"/>
      <c r="H157" s="67"/>
      <c r="I157" s="67"/>
      <c r="J157" s="199"/>
      <c r="K157" s="175"/>
      <c r="L157" s="36"/>
      <c r="M157" s="36"/>
      <c r="N157" s="200"/>
      <c r="O157" s="201"/>
      <c r="P157" s="228"/>
      <c r="Q157" s="36"/>
      <c r="R157" s="36"/>
      <c r="S157" s="36"/>
      <c r="T157" s="36"/>
      <c r="U157" s="173"/>
      <c r="V157" s="173"/>
    </row>
    <row r="158" spans="1:22" s="181" customFormat="1" ht="14.25">
      <c r="A158" s="69" t="s">
        <v>273</v>
      </c>
      <c r="B158" s="243" t="s">
        <v>274</v>
      </c>
      <c r="C158" s="243"/>
      <c r="D158" s="243"/>
      <c r="E158" s="243"/>
      <c r="F158" s="243"/>
      <c r="G158" s="243"/>
      <c r="H158" s="243"/>
      <c r="I158" s="243"/>
      <c r="J158" s="243"/>
      <c r="K158" s="243"/>
      <c r="L158" s="71"/>
      <c r="M158" s="72"/>
      <c r="N158" s="200"/>
      <c r="O158" s="233"/>
      <c r="P158" s="227"/>
      <c r="Q158" s="72"/>
      <c r="R158" s="72"/>
      <c r="S158" s="72"/>
      <c r="T158" s="72"/>
      <c r="U158" s="72"/>
      <c r="V158" s="72"/>
    </row>
    <row r="159" spans="1:22" s="194" customFormat="1" ht="14.25">
      <c r="A159" s="74" t="s">
        <v>275</v>
      </c>
      <c r="B159" s="120">
        <v>72075</v>
      </c>
      <c r="C159" s="76" t="s">
        <v>647</v>
      </c>
      <c r="D159" s="75" t="s">
        <v>23</v>
      </c>
      <c r="E159" s="41">
        <f>E176+12.63+12.63+1.44+1.44+8.21</f>
        <v>208.1975</v>
      </c>
      <c r="F159" s="76"/>
      <c r="G159" s="41"/>
      <c r="H159" s="76"/>
      <c r="I159" s="41"/>
      <c r="J159" s="41"/>
      <c r="K159" s="41"/>
      <c r="L159" s="71"/>
      <c r="M159" s="72"/>
      <c r="N159" s="200"/>
      <c r="O159" s="233"/>
      <c r="P159" s="228"/>
      <c r="Q159" s="72"/>
      <c r="R159" s="72"/>
      <c r="S159" s="72"/>
      <c r="T159" s="72"/>
      <c r="U159" s="72"/>
      <c r="V159" s="72"/>
    </row>
    <row r="160" spans="1:22" s="181" customFormat="1" ht="14.25">
      <c r="A160" s="79" t="s">
        <v>285</v>
      </c>
      <c r="B160" s="79"/>
      <c r="C160" s="79"/>
      <c r="D160" s="79"/>
      <c r="E160" s="79"/>
      <c r="F160" s="79"/>
      <c r="G160" s="79"/>
      <c r="H160" s="79"/>
      <c r="I160" s="79"/>
      <c r="J160" s="199"/>
      <c r="K160" s="199"/>
      <c r="L160" s="193"/>
      <c r="M160" s="72"/>
      <c r="N160" s="200"/>
      <c r="O160" s="233"/>
      <c r="P160" s="228"/>
      <c r="Q160" s="72"/>
      <c r="R160" s="72"/>
      <c r="S160" s="72"/>
      <c r="T160" s="72"/>
      <c r="U160" s="72"/>
      <c r="V160" s="72"/>
    </row>
    <row r="161" spans="1:22" ht="14.25">
      <c r="A161" s="34" t="s">
        <v>286</v>
      </c>
      <c r="B161" s="35" t="s">
        <v>287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6"/>
      <c r="M161" s="36"/>
      <c r="N161" s="200"/>
      <c r="O161" s="233"/>
      <c r="P161" s="228"/>
      <c r="Q161" s="36"/>
      <c r="R161" s="36"/>
      <c r="S161" s="36"/>
      <c r="T161" s="36"/>
      <c r="U161" s="173"/>
      <c r="V161" s="173"/>
    </row>
    <row r="162" spans="1:20" s="173" customFormat="1" ht="14.25">
      <c r="A162" s="118" t="s">
        <v>288</v>
      </c>
      <c r="B162" s="118"/>
      <c r="C162" s="244" t="s">
        <v>648</v>
      </c>
      <c r="D162" s="75" t="s">
        <v>391</v>
      </c>
      <c r="E162" s="119">
        <v>3</v>
      </c>
      <c r="F162" s="119"/>
      <c r="G162" s="119"/>
      <c r="H162" s="119"/>
      <c r="I162" s="119"/>
      <c r="J162" s="41"/>
      <c r="K162" s="41"/>
      <c r="L162" s="36"/>
      <c r="M162" s="36"/>
      <c r="N162" s="200"/>
      <c r="O162" s="233"/>
      <c r="P162" s="228"/>
      <c r="Q162" s="36"/>
      <c r="R162" s="36"/>
      <c r="S162" s="36"/>
      <c r="T162" s="36"/>
    </row>
    <row r="163" spans="1:20" s="173" customFormat="1" ht="14.25">
      <c r="A163" s="118" t="s">
        <v>289</v>
      </c>
      <c r="B163" s="118"/>
      <c r="C163" s="244" t="s">
        <v>649</v>
      </c>
      <c r="D163" s="75" t="s">
        <v>391</v>
      </c>
      <c r="E163" s="119">
        <v>3</v>
      </c>
      <c r="F163" s="119"/>
      <c r="G163" s="119"/>
      <c r="H163" s="119"/>
      <c r="I163" s="119"/>
      <c r="J163" s="41"/>
      <c r="K163" s="41"/>
      <c r="L163" s="36"/>
      <c r="M163" s="36"/>
      <c r="N163" s="200"/>
      <c r="O163" s="233"/>
      <c r="P163" s="228"/>
      <c r="Q163" s="36"/>
      <c r="R163" s="36"/>
      <c r="S163" s="36"/>
      <c r="T163" s="36"/>
    </row>
    <row r="164" spans="1:20" s="173" customFormat="1" ht="14.25">
      <c r="A164" s="118" t="s">
        <v>290</v>
      </c>
      <c r="B164" s="118"/>
      <c r="C164" s="244" t="s">
        <v>650</v>
      </c>
      <c r="D164" s="75" t="s">
        <v>391</v>
      </c>
      <c r="E164" s="119">
        <v>1</v>
      </c>
      <c r="F164" s="119"/>
      <c r="G164" s="119"/>
      <c r="H164" s="119"/>
      <c r="I164" s="119"/>
      <c r="J164" s="41"/>
      <c r="K164" s="41"/>
      <c r="L164" s="36"/>
      <c r="M164" s="36"/>
      <c r="N164" s="200"/>
      <c r="O164" s="233"/>
      <c r="P164" s="228"/>
      <c r="Q164" s="36"/>
      <c r="R164" s="36"/>
      <c r="S164" s="36"/>
      <c r="T164" s="36"/>
    </row>
    <row r="165" spans="1:20" s="173" customFormat="1" ht="14.25">
      <c r="A165" s="118" t="s">
        <v>291</v>
      </c>
      <c r="B165" s="118"/>
      <c r="C165" s="244" t="s">
        <v>651</v>
      </c>
      <c r="D165" s="75" t="s">
        <v>189</v>
      </c>
      <c r="E165" s="119">
        <v>10</v>
      </c>
      <c r="F165" s="119"/>
      <c r="G165" s="119"/>
      <c r="H165" s="119"/>
      <c r="I165" s="119"/>
      <c r="J165" s="41"/>
      <c r="K165" s="41"/>
      <c r="L165" s="36"/>
      <c r="M165" s="36"/>
      <c r="N165" s="200"/>
      <c r="O165" s="233"/>
      <c r="P165" s="228"/>
      <c r="Q165" s="36"/>
      <c r="R165" s="36"/>
      <c r="S165" s="36"/>
      <c r="T165" s="36"/>
    </row>
    <row r="166" spans="1:20" s="173" customFormat="1" ht="14.25">
      <c r="A166" s="118" t="s">
        <v>292</v>
      </c>
      <c r="B166" s="118"/>
      <c r="C166" s="244" t="s">
        <v>652</v>
      </c>
      <c r="D166" s="75" t="s">
        <v>391</v>
      </c>
      <c r="E166" s="119">
        <v>1</v>
      </c>
      <c r="F166" s="119"/>
      <c r="G166" s="119"/>
      <c r="H166" s="119"/>
      <c r="I166" s="119"/>
      <c r="J166" s="41"/>
      <c r="K166" s="41"/>
      <c r="L166" s="36"/>
      <c r="M166" s="36"/>
      <c r="N166" s="208"/>
      <c r="O166" s="233"/>
      <c r="P166" s="228"/>
      <c r="Q166" s="36"/>
      <c r="R166" s="36"/>
      <c r="S166" s="36"/>
      <c r="T166" s="36"/>
    </row>
    <row r="167" spans="1:20" s="173" customFormat="1" ht="14.25">
      <c r="A167" s="118" t="s">
        <v>293</v>
      </c>
      <c r="B167" s="118"/>
      <c r="C167" s="244" t="s">
        <v>653</v>
      </c>
      <c r="D167" s="75" t="s">
        <v>391</v>
      </c>
      <c r="E167" s="119">
        <v>1</v>
      </c>
      <c r="F167" s="119"/>
      <c r="G167" s="119"/>
      <c r="H167" s="119"/>
      <c r="I167" s="119"/>
      <c r="J167" s="41"/>
      <c r="K167" s="41"/>
      <c r="L167" s="36"/>
      <c r="M167" s="36"/>
      <c r="N167" s="200"/>
      <c r="O167" s="233"/>
      <c r="P167" s="228"/>
      <c r="Q167" s="36"/>
      <c r="R167" s="36"/>
      <c r="S167" s="36"/>
      <c r="T167" s="36"/>
    </row>
    <row r="168" spans="1:20" s="173" customFormat="1" ht="14.25">
      <c r="A168" s="118" t="s">
        <v>294</v>
      </c>
      <c r="B168" s="75" t="s">
        <v>484</v>
      </c>
      <c r="C168" s="244" t="s">
        <v>654</v>
      </c>
      <c r="D168" s="75" t="s">
        <v>391</v>
      </c>
      <c r="E168" s="119">
        <v>4</v>
      </c>
      <c r="F168" s="119"/>
      <c r="G168" s="119"/>
      <c r="H168" s="119"/>
      <c r="I168" s="119"/>
      <c r="J168" s="41"/>
      <c r="K168" s="41"/>
      <c r="L168" s="36"/>
      <c r="M168" s="36"/>
      <c r="N168" s="200"/>
      <c r="O168" s="233"/>
      <c r="P168" s="228"/>
      <c r="Q168" s="36"/>
      <c r="R168" s="36"/>
      <c r="S168" s="36"/>
      <c r="T168" s="36"/>
    </row>
    <row r="169" spans="1:20" s="173" customFormat="1" ht="14.25">
      <c r="A169" s="118" t="s">
        <v>295</v>
      </c>
      <c r="B169" s="118"/>
      <c r="C169" s="39" t="s">
        <v>655</v>
      </c>
      <c r="D169" s="75" t="s">
        <v>391</v>
      </c>
      <c r="E169" s="41">
        <v>6</v>
      </c>
      <c r="F169" s="41"/>
      <c r="G169" s="119"/>
      <c r="H169" s="41"/>
      <c r="I169" s="119"/>
      <c r="J169" s="41"/>
      <c r="K169" s="41"/>
      <c r="L169" s="36"/>
      <c r="M169" s="36"/>
      <c r="N169" s="200"/>
      <c r="O169" s="233"/>
      <c r="P169" s="228"/>
      <c r="Q169" s="36"/>
      <c r="R169" s="36"/>
      <c r="S169" s="36"/>
      <c r="T169" s="36"/>
    </row>
    <row r="170" spans="1:22" ht="14.25">
      <c r="A170" s="67" t="s">
        <v>298</v>
      </c>
      <c r="B170" s="67"/>
      <c r="C170" s="67"/>
      <c r="D170" s="67"/>
      <c r="E170" s="67"/>
      <c r="F170" s="67"/>
      <c r="G170" s="67"/>
      <c r="H170" s="67"/>
      <c r="I170" s="67"/>
      <c r="J170" s="199"/>
      <c r="K170" s="175"/>
      <c r="M170" s="173"/>
      <c r="N170" s="208"/>
      <c r="O170" s="233"/>
      <c r="P170" s="228"/>
      <c r="Q170" s="173"/>
      <c r="R170" s="173"/>
      <c r="S170" s="173"/>
      <c r="T170" s="173"/>
      <c r="U170" s="173"/>
      <c r="V170" s="173"/>
    </row>
    <row r="171" spans="1:22" ht="14.25">
      <c r="A171" s="34" t="s">
        <v>299</v>
      </c>
      <c r="B171" s="35" t="s">
        <v>300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6"/>
      <c r="M171" s="36"/>
      <c r="N171" s="232"/>
      <c r="O171" s="201"/>
      <c r="P171" s="228"/>
      <c r="Q171" s="36"/>
      <c r="R171" s="36"/>
      <c r="S171" s="36"/>
      <c r="T171" s="36"/>
      <c r="U171" s="173"/>
      <c r="V171" s="173"/>
    </row>
    <row r="172" spans="1:20" s="173" customFormat="1" ht="14.25">
      <c r="A172" s="37" t="s">
        <v>301</v>
      </c>
      <c r="B172" s="120">
        <v>5974</v>
      </c>
      <c r="C172" s="44" t="s">
        <v>656</v>
      </c>
      <c r="D172" s="40" t="s">
        <v>23</v>
      </c>
      <c r="E172" s="41">
        <f>(E50+E51+E52)*2</f>
        <v>1254.7432</v>
      </c>
      <c r="F172" s="41"/>
      <c r="G172" s="41"/>
      <c r="H172" s="41"/>
      <c r="I172" s="41"/>
      <c r="J172" s="41"/>
      <c r="K172" s="41"/>
      <c r="L172" s="36"/>
      <c r="M172" s="36"/>
      <c r="N172" s="232"/>
      <c r="O172" s="201"/>
      <c r="P172" s="228"/>
      <c r="Q172" s="36"/>
      <c r="R172" s="36"/>
      <c r="S172" s="36"/>
      <c r="T172" s="36"/>
    </row>
    <row r="173" spans="1:20" s="173" customFormat="1" ht="14.25">
      <c r="A173" s="37" t="s">
        <v>303</v>
      </c>
      <c r="B173" s="120">
        <v>5975</v>
      </c>
      <c r="C173" s="44" t="s">
        <v>657</v>
      </c>
      <c r="D173" s="40" t="s">
        <v>23</v>
      </c>
      <c r="E173" s="41">
        <f>E13</f>
        <v>370.04</v>
      </c>
      <c r="F173" s="41"/>
      <c r="G173" s="41"/>
      <c r="H173" s="41"/>
      <c r="I173" s="41"/>
      <c r="J173" s="41"/>
      <c r="K173" s="41"/>
      <c r="L173" s="36"/>
      <c r="M173" s="36"/>
      <c r="N173" s="245"/>
      <c r="O173" s="201"/>
      <c r="P173" s="228"/>
      <c r="Q173" s="36"/>
      <c r="R173" s="36"/>
      <c r="S173" s="36"/>
      <c r="T173" s="36"/>
    </row>
    <row r="174" spans="1:20" s="173" customFormat="1" ht="23.25">
      <c r="A174" s="37" t="s">
        <v>304</v>
      </c>
      <c r="B174" s="120">
        <v>5982</v>
      </c>
      <c r="C174" s="44" t="s">
        <v>658</v>
      </c>
      <c r="D174" s="40" t="s">
        <v>23</v>
      </c>
      <c r="E174" s="41">
        <f>E173</f>
        <v>370.04</v>
      </c>
      <c r="F174" s="41"/>
      <c r="G174" s="41"/>
      <c r="H174" s="41"/>
      <c r="I174" s="41"/>
      <c r="J174" s="41"/>
      <c r="K174" s="41"/>
      <c r="L174" s="36"/>
      <c r="M174" s="36"/>
      <c r="N174" s="232"/>
      <c r="O174" s="201"/>
      <c r="P174" s="237"/>
      <c r="Q174" s="36"/>
      <c r="R174" s="36"/>
      <c r="S174" s="36"/>
      <c r="T174" s="36"/>
    </row>
    <row r="175" spans="1:20" s="173" customFormat="1" ht="23.25">
      <c r="A175" s="37" t="s">
        <v>305</v>
      </c>
      <c r="B175" s="120">
        <v>5992</v>
      </c>
      <c r="C175" s="44" t="s">
        <v>659</v>
      </c>
      <c r="D175" s="40" t="s">
        <v>23</v>
      </c>
      <c r="E175" s="41">
        <f>E172</f>
        <v>1254.7432</v>
      </c>
      <c r="F175" s="41"/>
      <c r="G175" s="41"/>
      <c r="H175" s="41"/>
      <c r="I175" s="41"/>
      <c r="J175" s="41"/>
      <c r="K175" s="41"/>
      <c r="L175" s="36"/>
      <c r="M175" s="36"/>
      <c r="N175" s="200"/>
      <c r="O175" s="201"/>
      <c r="P175" s="246"/>
      <c r="Q175" s="36"/>
      <c r="R175" s="36"/>
      <c r="S175" s="36"/>
      <c r="T175" s="36"/>
    </row>
    <row r="176" spans="1:20" s="173" customFormat="1" ht="14.25">
      <c r="A176" s="37" t="s">
        <v>308</v>
      </c>
      <c r="B176" s="120" t="s">
        <v>660</v>
      </c>
      <c r="C176" s="44" t="s">
        <v>661</v>
      </c>
      <c r="D176" s="40" t="s">
        <v>23</v>
      </c>
      <c r="E176" s="41">
        <f>(((2.85*(14.92+3.33))*2)+(4.5*11.6))*1.1</f>
        <v>171.8475</v>
      </c>
      <c r="F176" s="41"/>
      <c r="G176" s="41"/>
      <c r="H176" s="41"/>
      <c r="I176" s="41"/>
      <c r="J176" s="41"/>
      <c r="K176" s="41"/>
      <c r="L176" s="36"/>
      <c r="M176" s="36"/>
      <c r="N176" s="200"/>
      <c r="O176" s="201"/>
      <c r="P176" s="247"/>
      <c r="Q176" s="36"/>
      <c r="R176" s="36"/>
      <c r="S176" s="36"/>
      <c r="T176" s="36"/>
    </row>
    <row r="177" spans="1:20" s="173" customFormat="1" ht="14.25">
      <c r="A177" s="37" t="s">
        <v>309</v>
      </c>
      <c r="B177" s="120">
        <v>72200</v>
      </c>
      <c r="C177" s="44" t="s">
        <v>662</v>
      </c>
      <c r="D177" s="40" t="s">
        <v>23</v>
      </c>
      <c r="E177" s="41">
        <f>35.75*3.35</f>
        <v>119.7625</v>
      </c>
      <c r="F177" s="41"/>
      <c r="G177" s="41"/>
      <c r="H177" s="41"/>
      <c r="I177" s="41"/>
      <c r="J177" s="41"/>
      <c r="K177" s="41"/>
      <c r="L177" s="36"/>
      <c r="M177" s="36"/>
      <c r="N177" s="36"/>
      <c r="O177" s="212"/>
      <c r="P177" s="247"/>
      <c r="Q177" s="36"/>
      <c r="R177" s="36"/>
      <c r="S177" s="36"/>
      <c r="T177" s="36"/>
    </row>
    <row r="178" spans="1:20" s="173" customFormat="1" ht="14.25" customHeight="1">
      <c r="A178" s="37" t="s">
        <v>310</v>
      </c>
      <c r="B178" s="120">
        <v>9536</v>
      </c>
      <c r="C178" s="44" t="s">
        <v>663</v>
      </c>
      <c r="D178" s="40" t="s">
        <v>23</v>
      </c>
      <c r="E178" s="41">
        <f>(0.8*3.7)*1.005</f>
        <v>2.9748</v>
      </c>
      <c r="F178" s="41"/>
      <c r="G178" s="41"/>
      <c r="H178" s="41"/>
      <c r="I178" s="41"/>
      <c r="J178" s="41"/>
      <c r="K178" s="41"/>
      <c r="L178" s="36"/>
      <c r="M178" s="36"/>
      <c r="N178" s="36"/>
      <c r="O178" s="212"/>
      <c r="P178" s="247"/>
      <c r="Q178" s="36"/>
      <c r="R178" s="36"/>
      <c r="S178" s="36"/>
      <c r="T178" s="36"/>
    </row>
    <row r="179" spans="1:20" s="173" customFormat="1" ht="14.25" customHeight="1">
      <c r="A179" s="37" t="s">
        <v>311</v>
      </c>
      <c r="B179" s="120" t="s">
        <v>664</v>
      </c>
      <c r="C179" s="44" t="s">
        <v>665</v>
      </c>
      <c r="D179" s="40" t="s">
        <v>23</v>
      </c>
      <c r="E179" s="41">
        <v>344.84</v>
      </c>
      <c r="F179" s="41"/>
      <c r="G179" s="41"/>
      <c r="H179" s="41"/>
      <c r="I179" s="41"/>
      <c r="J179" s="41"/>
      <c r="K179" s="41"/>
      <c r="L179" s="36"/>
      <c r="M179" s="36"/>
      <c r="N179" s="36"/>
      <c r="O179" s="248"/>
      <c r="P179" s="246"/>
      <c r="Q179" s="36"/>
      <c r="R179" s="36"/>
      <c r="S179" s="36"/>
      <c r="T179" s="36"/>
    </row>
    <row r="180" spans="1:20" s="173" customFormat="1" ht="24" customHeight="1">
      <c r="A180" s="37" t="s">
        <v>312</v>
      </c>
      <c r="B180" s="120" t="s">
        <v>666</v>
      </c>
      <c r="C180" s="47" t="s">
        <v>667</v>
      </c>
      <c r="D180" s="40" t="s">
        <v>23</v>
      </c>
      <c r="E180" s="41">
        <f>(((12.63+5.3+1.44)*2)+8.21+8.04)*1.1</f>
        <v>60.489000000000004</v>
      </c>
      <c r="F180" s="41"/>
      <c r="G180" s="41"/>
      <c r="H180" s="41"/>
      <c r="I180" s="41"/>
      <c r="J180" s="41"/>
      <c r="K180" s="41"/>
      <c r="L180" s="36"/>
      <c r="M180" s="36"/>
      <c r="N180" s="36"/>
      <c r="O180" s="212"/>
      <c r="P180" s="247"/>
      <c r="Q180" s="36"/>
      <c r="R180" s="36"/>
      <c r="S180" s="36"/>
      <c r="T180" s="36"/>
    </row>
    <row r="181" spans="1:20" s="173" customFormat="1" ht="23.25">
      <c r="A181" s="37" t="s">
        <v>668</v>
      </c>
      <c r="B181" s="120" t="s">
        <v>669</v>
      </c>
      <c r="C181" s="47" t="s">
        <v>670</v>
      </c>
      <c r="D181" s="40" t="s">
        <v>23</v>
      </c>
      <c r="E181" s="41">
        <f>(24.66+62.42+16.75+24.66+2.44+2.44+68.46)*1.1</f>
        <v>222.013</v>
      </c>
      <c r="F181" s="41"/>
      <c r="G181" s="41"/>
      <c r="H181" s="41"/>
      <c r="I181" s="41"/>
      <c r="J181" s="41"/>
      <c r="K181" s="41"/>
      <c r="L181" s="36"/>
      <c r="M181" s="36"/>
      <c r="N181" s="36"/>
      <c r="O181" s="212"/>
      <c r="P181" s="247"/>
      <c r="Q181" s="36"/>
      <c r="R181" s="36"/>
      <c r="S181" s="36"/>
      <c r="T181" s="36"/>
    </row>
    <row r="182" spans="1:20" s="173" customFormat="1" ht="14.25">
      <c r="A182" s="37" t="s">
        <v>671</v>
      </c>
      <c r="B182" s="120">
        <v>10710</v>
      </c>
      <c r="C182" s="47" t="s">
        <v>672</v>
      </c>
      <c r="D182" s="40" t="s">
        <v>23</v>
      </c>
      <c r="E182" s="41">
        <f>(85.86+(10*0.05)+(35.75*0.08))*1.1</f>
        <v>98.14200000000001</v>
      </c>
      <c r="F182" s="41"/>
      <c r="G182" s="41"/>
      <c r="H182" s="41"/>
      <c r="I182" s="41"/>
      <c r="J182" s="41"/>
      <c r="K182" s="41"/>
      <c r="L182" s="36"/>
      <c r="M182" s="36"/>
      <c r="N182" s="36"/>
      <c r="O182" s="212"/>
      <c r="P182" s="247"/>
      <c r="Q182" s="36"/>
      <c r="R182" s="36"/>
      <c r="S182" s="36"/>
      <c r="T182" s="36"/>
    </row>
    <row r="183" spans="1:20" s="173" customFormat="1" ht="14.25">
      <c r="A183" s="37" t="s">
        <v>673</v>
      </c>
      <c r="B183" s="120" t="s">
        <v>674</v>
      </c>
      <c r="C183" s="249" t="s">
        <v>675</v>
      </c>
      <c r="D183" s="40" t="s">
        <v>189</v>
      </c>
      <c r="E183" s="41">
        <f>((3.53*4)+(1.5*3)+(2.8*2))*1.1</f>
        <v>26.642</v>
      </c>
      <c r="F183" s="41"/>
      <c r="G183" s="41"/>
      <c r="H183" s="41"/>
      <c r="I183" s="41"/>
      <c r="J183" s="41"/>
      <c r="K183" s="41"/>
      <c r="L183" s="36"/>
      <c r="M183" s="36"/>
      <c r="N183" s="36"/>
      <c r="O183" s="212"/>
      <c r="P183" s="247"/>
      <c r="Q183" s="36"/>
      <c r="R183" s="36"/>
      <c r="S183" s="36"/>
      <c r="T183" s="36"/>
    </row>
    <row r="184" spans="1:20" s="173" customFormat="1" ht="14.25">
      <c r="A184" s="37" t="s">
        <v>676</v>
      </c>
      <c r="B184" s="120" t="s">
        <v>677</v>
      </c>
      <c r="C184" s="46" t="s">
        <v>678</v>
      </c>
      <c r="D184" s="40" t="s">
        <v>189</v>
      </c>
      <c r="E184" s="41">
        <f>((0.8*5)+(1*6)+(3.6*2)+(6.91))*1.1</f>
        <v>26.521</v>
      </c>
      <c r="F184" s="41"/>
      <c r="G184" s="41"/>
      <c r="H184" s="41"/>
      <c r="I184" s="41"/>
      <c r="J184" s="41"/>
      <c r="K184" s="41"/>
      <c r="L184" s="36"/>
      <c r="M184" s="36"/>
      <c r="N184" s="36"/>
      <c r="O184" s="212"/>
      <c r="P184" s="247"/>
      <c r="Q184" s="36"/>
      <c r="R184" s="36"/>
      <c r="S184" s="36"/>
      <c r="T184" s="36"/>
    </row>
    <row r="185" spans="1:20" s="197" customFormat="1" ht="14.25">
      <c r="A185" s="37" t="s">
        <v>679</v>
      </c>
      <c r="B185" s="250" t="s">
        <v>680</v>
      </c>
      <c r="C185" s="251" t="s">
        <v>681</v>
      </c>
      <c r="D185" s="196" t="s">
        <v>189</v>
      </c>
      <c r="E185" s="83">
        <f>2.1+2.1+(3.21*2)+2.55</f>
        <v>13.170000000000002</v>
      </c>
      <c r="F185" s="83"/>
      <c r="G185" s="83"/>
      <c r="H185" s="83"/>
      <c r="I185" s="83"/>
      <c r="J185" s="83"/>
      <c r="K185" s="83"/>
      <c r="L185" s="90"/>
      <c r="M185" s="90"/>
      <c r="N185" s="90"/>
      <c r="O185" s="212"/>
      <c r="P185" s="247"/>
      <c r="Q185" s="90"/>
      <c r="R185" s="90"/>
      <c r="S185" s="90"/>
      <c r="T185" s="90"/>
    </row>
    <row r="186" spans="1:20" s="173" customFormat="1" ht="24.75" customHeight="1">
      <c r="A186" s="37" t="s">
        <v>682</v>
      </c>
      <c r="B186" s="120" t="s">
        <v>683</v>
      </c>
      <c r="C186" s="44" t="s">
        <v>684</v>
      </c>
      <c r="D186" s="40" t="s">
        <v>189</v>
      </c>
      <c r="E186" s="41">
        <f>((17.3*2)+11.5+11.6+16.7+38+(14.92*2)+(10.06*2))*1.1</f>
        <v>178.59600000000003</v>
      </c>
      <c r="F186" s="41"/>
      <c r="G186" s="41"/>
      <c r="H186" s="41"/>
      <c r="I186" s="41"/>
      <c r="J186" s="41"/>
      <c r="K186" s="41"/>
      <c r="L186" s="36"/>
      <c r="M186" s="36"/>
      <c r="N186" s="36"/>
      <c r="O186" s="212"/>
      <c r="P186" s="252"/>
      <c r="Q186" s="36"/>
      <c r="R186" s="36"/>
      <c r="S186" s="36"/>
      <c r="T186" s="36"/>
    </row>
    <row r="187" spans="1:21" ht="14.25">
      <c r="A187" s="67" t="s">
        <v>313</v>
      </c>
      <c r="B187" s="67"/>
      <c r="C187" s="67"/>
      <c r="D187" s="67"/>
      <c r="E187" s="67"/>
      <c r="F187" s="67"/>
      <c r="G187" s="67"/>
      <c r="H187" s="67"/>
      <c r="I187" s="67"/>
      <c r="J187" s="53"/>
      <c r="K187" s="53"/>
      <c r="L187" s="68"/>
      <c r="M187" s="36"/>
      <c r="N187" s="36"/>
      <c r="O187" s="212"/>
      <c r="P187" s="252"/>
      <c r="Q187" s="36"/>
      <c r="R187" s="36"/>
      <c r="S187" s="36"/>
      <c r="T187" s="36"/>
      <c r="U187" s="173"/>
    </row>
    <row r="188" spans="1:21" s="181" customFormat="1" ht="14.25">
      <c r="A188" s="69" t="s">
        <v>314</v>
      </c>
      <c r="B188" s="243" t="s">
        <v>315</v>
      </c>
      <c r="C188" s="243"/>
      <c r="D188" s="243"/>
      <c r="E188" s="243"/>
      <c r="F188" s="243"/>
      <c r="G188" s="243"/>
      <c r="H188" s="243"/>
      <c r="I188" s="243"/>
      <c r="J188" s="243"/>
      <c r="K188" s="243"/>
      <c r="L188" s="71"/>
      <c r="M188" s="72"/>
      <c r="N188" s="72"/>
      <c r="O188" s="212"/>
      <c r="P188" s="247"/>
      <c r="Q188" s="72"/>
      <c r="R188" s="72"/>
      <c r="S188" s="72"/>
      <c r="T188" s="72"/>
      <c r="U188" s="72"/>
    </row>
    <row r="189" spans="1:21" s="194" customFormat="1" ht="14.25">
      <c r="A189" s="74" t="s">
        <v>316</v>
      </c>
      <c r="B189" s="120">
        <v>72123</v>
      </c>
      <c r="C189" s="76" t="s">
        <v>685</v>
      </c>
      <c r="D189" s="75" t="s">
        <v>23</v>
      </c>
      <c r="E189" s="41">
        <v>42.23</v>
      </c>
      <c r="F189" s="41"/>
      <c r="G189" s="41"/>
      <c r="H189" s="41"/>
      <c r="I189" s="41"/>
      <c r="J189" s="41"/>
      <c r="K189" s="41"/>
      <c r="L189" s="71"/>
      <c r="M189" s="72"/>
      <c r="N189" s="72"/>
      <c r="O189" s="212"/>
      <c r="P189" s="247"/>
      <c r="Q189" s="72"/>
      <c r="R189" s="72"/>
      <c r="S189" s="72"/>
      <c r="T189" s="72"/>
      <c r="U189" s="72"/>
    </row>
    <row r="190" spans="1:21" s="194" customFormat="1" ht="14.25">
      <c r="A190" s="74" t="s">
        <v>317</v>
      </c>
      <c r="B190" s="120">
        <v>72120</v>
      </c>
      <c r="C190" s="76" t="s">
        <v>686</v>
      </c>
      <c r="D190" s="75" t="s">
        <v>23</v>
      </c>
      <c r="E190" s="41">
        <f>E59-E189</f>
        <v>50.49</v>
      </c>
      <c r="F190" s="41"/>
      <c r="G190" s="41"/>
      <c r="H190" s="41"/>
      <c r="I190" s="41"/>
      <c r="J190" s="41"/>
      <c r="K190" s="41"/>
      <c r="L190" s="71"/>
      <c r="M190" s="72"/>
      <c r="N190" s="72"/>
      <c r="O190" s="212"/>
      <c r="P190" s="247"/>
      <c r="Q190" s="72"/>
      <c r="R190" s="72"/>
      <c r="S190" s="72"/>
      <c r="T190" s="72"/>
      <c r="U190" s="72"/>
    </row>
    <row r="191" spans="1:21" s="194" customFormat="1" ht="14.25">
      <c r="A191" s="74" t="s">
        <v>318</v>
      </c>
      <c r="B191" s="120">
        <v>72116</v>
      </c>
      <c r="C191" s="76" t="s">
        <v>687</v>
      </c>
      <c r="D191" s="75" t="s">
        <v>23</v>
      </c>
      <c r="E191" s="41">
        <f>0.2*0.9*E68</f>
        <v>1.08</v>
      </c>
      <c r="F191" s="41"/>
      <c r="G191" s="41"/>
      <c r="H191" s="41"/>
      <c r="I191" s="41"/>
      <c r="J191" s="41"/>
      <c r="K191" s="41"/>
      <c r="L191" s="71"/>
      <c r="M191" s="72"/>
      <c r="N191" s="72"/>
      <c r="O191" s="212"/>
      <c r="P191" s="247"/>
      <c r="Q191" s="72"/>
      <c r="R191" s="72"/>
      <c r="S191" s="72"/>
      <c r="T191" s="72"/>
      <c r="U191" s="72"/>
    </row>
    <row r="192" spans="1:21" s="194" customFormat="1" ht="14.25">
      <c r="A192" s="74" t="s">
        <v>319</v>
      </c>
      <c r="B192" s="253">
        <v>72122</v>
      </c>
      <c r="C192" s="76" t="s">
        <v>688</v>
      </c>
      <c r="D192" s="75" t="s">
        <v>23</v>
      </c>
      <c r="E192" s="41">
        <f>3.5*0.6*E71</f>
        <v>8.400000000000002</v>
      </c>
      <c r="F192" s="41"/>
      <c r="G192" s="41"/>
      <c r="H192" s="41"/>
      <c r="I192" s="41"/>
      <c r="J192" s="41"/>
      <c r="K192" s="41"/>
      <c r="L192" s="71"/>
      <c r="M192" s="72"/>
      <c r="N192" s="72"/>
      <c r="O192" s="212"/>
      <c r="P192" s="247"/>
      <c r="Q192" s="72"/>
      <c r="R192" s="72"/>
      <c r="S192" s="72"/>
      <c r="T192" s="72"/>
      <c r="U192" s="72"/>
    </row>
    <row r="193" spans="1:21" s="194" customFormat="1" ht="14.25">
      <c r="A193" s="74" t="s">
        <v>320</v>
      </c>
      <c r="B193" s="120">
        <v>72116</v>
      </c>
      <c r="C193" s="76" t="s">
        <v>689</v>
      </c>
      <c r="D193" s="75" t="s">
        <v>23</v>
      </c>
      <c r="E193" s="41">
        <f>1.5*0.6*E72</f>
        <v>0.9000000000000001</v>
      </c>
      <c r="F193" s="41"/>
      <c r="G193" s="41"/>
      <c r="H193" s="41"/>
      <c r="I193" s="41"/>
      <c r="J193" s="41"/>
      <c r="K193" s="41"/>
      <c r="L193" s="71"/>
      <c r="M193" s="72"/>
      <c r="N193" s="72"/>
      <c r="O193" s="212"/>
      <c r="P193" s="247"/>
      <c r="Q193" s="72"/>
      <c r="R193" s="72"/>
      <c r="S193" s="72"/>
      <c r="T193" s="72"/>
      <c r="U193" s="72"/>
    </row>
    <row r="194" spans="1:21" s="194" customFormat="1" ht="14.25">
      <c r="A194" s="74" t="s">
        <v>321</v>
      </c>
      <c r="B194" s="120">
        <v>72116</v>
      </c>
      <c r="C194" s="76" t="s">
        <v>690</v>
      </c>
      <c r="D194" s="75" t="s">
        <v>23</v>
      </c>
      <c r="E194" s="41">
        <f>2.8*1.2*E73</f>
        <v>6.72</v>
      </c>
      <c r="F194" s="41"/>
      <c r="G194" s="41"/>
      <c r="H194" s="41"/>
      <c r="I194" s="41"/>
      <c r="J194" s="41"/>
      <c r="K194" s="41"/>
      <c r="L194" s="71"/>
      <c r="M194" s="72"/>
      <c r="N194" s="72"/>
      <c r="O194" s="212"/>
      <c r="P194" s="247"/>
      <c r="Q194" s="72"/>
      <c r="R194" s="72"/>
      <c r="S194" s="72"/>
      <c r="T194" s="72"/>
      <c r="U194" s="72"/>
    </row>
    <row r="195" spans="1:21" s="194" customFormat="1" ht="14.25">
      <c r="A195" s="74" t="s">
        <v>322</v>
      </c>
      <c r="B195" s="120">
        <v>72116</v>
      </c>
      <c r="C195" s="76" t="s">
        <v>691</v>
      </c>
      <c r="D195" s="75" t="s">
        <v>23</v>
      </c>
      <c r="E195" s="41">
        <f>1.5*2*E74</f>
        <v>6</v>
      </c>
      <c r="F195" s="41"/>
      <c r="G195" s="41"/>
      <c r="H195" s="41"/>
      <c r="I195" s="41"/>
      <c r="J195" s="41"/>
      <c r="K195" s="41"/>
      <c r="L195" s="71"/>
      <c r="M195" s="72"/>
      <c r="N195" s="72"/>
      <c r="O195" s="212"/>
      <c r="P195" s="247"/>
      <c r="Q195" s="72"/>
      <c r="R195" s="72"/>
      <c r="S195" s="72"/>
      <c r="T195" s="72"/>
      <c r="U195" s="72"/>
    </row>
    <row r="196" spans="1:21" s="181" customFormat="1" ht="14.25">
      <c r="A196" s="122" t="s">
        <v>326</v>
      </c>
      <c r="B196" s="122"/>
      <c r="C196" s="122"/>
      <c r="D196" s="122"/>
      <c r="E196" s="122"/>
      <c r="F196" s="122"/>
      <c r="G196" s="122"/>
      <c r="H196" s="122"/>
      <c r="I196" s="122"/>
      <c r="J196" s="53"/>
      <c r="K196" s="53"/>
      <c r="L196" s="193"/>
      <c r="M196" s="72"/>
      <c r="N196" s="72"/>
      <c r="O196" s="212"/>
      <c r="P196" s="247"/>
      <c r="Q196" s="72"/>
      <c r="R196" s="72"/>
      <c r="S196" s="72"/>
      <c r="T196" s="72"/>
      <c r="U196" s="72"/>
    </row>
    <row r="197" spans="1:20" s="173" customFormat="1" ht="14.25">
      <c r="A197" s="34" t="s">
        <v>327</v>
      </c>
      <c r="B197" s="123" t="s">
        <v>328</v>
      </c>
      <c r="C197" s="123"/>
      <c r="D197" s="123"/>
      <c r="E197" s="123"/>
      <c r="F197" s="123"/>
      <c r="G197" s="123"/>
      <c r="H197" s="123"/>
      <c r="I197" s="123"/>
      <c r="J197" s="123"/>
      <c r="K197" s="123"/>
      <c r="L197" s="68"/>
      <c r="M197" s="36"/>
      <c r="N197" s="36"/>
      <c r="O197" s="36"/>
      <c r="P197" s="36"/>
      <c r="Q197" s="36"/>
      <c r="R197" s="36"/>
      <c r="S197" s="36"/>
      <c r="T197" s="36"/>
    </row>
    <row r="198" spans="1:20" s="173" customFormat="1" ht="14.25">
      <c r="A198" s="37" t="s">
        <v>329</v>
      </c>
      <c r="B198" s="38" t="s">
        <v>692</v>
      </c>
      <c r="C198" s="46" t="s">
        <v>693</v>
      </c>
      <c r="D198" s="40" t="s">
        <v>23</v>
      </c>
      <c r="E198" s="41">
        <f>E172+E173-(E176/1.1)-E177+(1.26*4*4)</f>
        <v>1368.9557</v>
      </c>
      <c r="F198" s="41"/>
      <c r="G198" s="41"/>
      <c r="H198" s="41"/>
      <c r="I198" s="41"/>
      <c r="J198" s="41"/>
      <c r="K198" s="41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s="173" customFormat="1" ht="14.25">
      <c r="A199" s="37" t="s">
        <v>330</v>
      </c>
      <c r="B199" s="38" t="s">
        <v>694</v>
      </c>
      <c r="C199" s="46" t="s">
        <v>695</v>
      </c>
      <c r="D199" s="40" t="s">
        <v>23</v>
      </c>
      <c r="E199" s="41">
        <f>E198</f>
        <v>1368.9557</v>
      </c>
      <c r="F199" s="41"/>
      <c r="G199" s="41"/>
      <c r="H199" s="41"/>
      <c r="I199" s="41"/>
      <c r="J199" s="41"/>
      <c r="K199" s="41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s="173" customFormat="1" ht="14.25">
      <c r="A200" s="37" t="s">
        <v>331</v>
      </c>
      <c r="B200" s="38" t="s">
        <v>696</v>
      </c>
      <c r="C200" s="46" t="s">
        <v>697</v>
      </c>
      <c r="D200" s="40" t="s">
        <v>23</v>
      </c>
      <c r="E200" s="41">
        <f>E178*1.15</f>
        <v>3.42102</v>
      </c>
      <c r="F200" s="41"/>
      <c r="G200" s="41"/>
      <c r="H200" s="41"/>
      <c r="I200" s="41"/>
      <c r="J200" s="41"/>
      <c r="K200" s="41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s="173" customFormat="1" ht="14.25">
      <c r="A201" s="37" t="s">
        <v>332</v>
      </c>
      <c r="B201" s="120">
        <v>6082</v>
      </c>
      <c r="C201" s="46" t="s">
        <v>698</v>
      </c>
      <c r="D201" s="40" t="s">
        <v>23</v>
      </c>
      <c r="E201" s="41">
        <f>(0.8*2.1*3*4)+(1*2.1*3*6)+(0.8*2.1*3*1)</f>
        <v>63.00000000000001</v>
      </c>
      <c r="F201" s="41"/>
      <c r="G201" s="41"/>
      <c r="H201" s="41"/>
      <c r="I201" s="41"/>
      <c r="J201" s="41"/>
      <c r="K201" s="41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s="173" customFormat="1" ht="14.25">
      <c r="A202" s="64" t="s">
        <v>339</v>
      </c>
      <c r="B202" s="64"/>
      <c r="C202" s="64"/>
      <c r="D202" s="64"/>
      <c r="E202" s="64"/>
      <c r="F202" s="64"/>
      <c r="G202" s="64"/>
      <c r="H202" s="64"/>
      <c r="I202" s="64"/>
      <c r="J202" s="199"/>
      <c r="K202" s="199"/>
      <c r="L202" s="68"/>
      <c r="M202" s="36"/>
      <c r="N202" s="36"/>
      <c r="O202" s="36"/>
      <c r="P202" s="36"/>
      <c r="Q202" s="36"/>
      <c r="R202" s="36"/>
      <c r="S202" s="36"/>
      <c r="T202" s="36"/>
    </row>
    <row r="203" spans="1:22" s="181" customFormat="1" ht="14.25">
      <c r="A203" s="69" t="s">
        <v>340</v>
      </c>
      <c r="B203" s="243" t="s">
        <v>341</v>
      </c>
      <c r="C203" s="243"/>
      <c r="D203" s="243"/>
      <c r="E203" s="243"/>
      <c r="F203" s="243"/>
      <c r="G203" s="243"/>
      <c r="H203" s="243"/>
      <c r="I203" s="243"/>
      <c r="J203" s="243"/>
      <c r="K203" s="243"/>
      <c r="L203" s="71"/>
      <c r="M203" s="72"/>
      <c r="N203" s="72"/>
      <c r="O203" s="72"/>
      <c r="P203" s="72"/>
      <c r="Q203" s="72"/>
      <c r="R203" s="72"/>
      <c r="S203" s="72"/>
      <c r="T203" s="72"/>
      <c r="U203" s="72"/>
      <c r="V203" s="72"/>
    </row>
    <row r="204" spans="1:22" s="181" customFormat="1" ht="14.25">
      <c r="A204" s="69" t="s">
        <v>342</v>
      </c>
      <c r="B204" s="139" t="s">
        <v>354</v>
      </c>
      <c r="C204" s="131" t="s">
        <v>699</v>
      </c>
      <c r="D204" s="140" t="s">
        <v>23</v>
      </c>
      <c r="E204" s="76">
        <f>49.72+16.26</f>
        <v>65.98</v>
      </c>
      <c r="F204" s="141"/>
      <c r="G204" s="41"/>
      <c r="H204" s="41"/>
      <c r="I204" s="41"/>
      <c r="J204" s="41"/>
      <c r="K204" s="41"/>
      <c r="L204" s="71"/>
      <c r="M204" s="72"/>
      <c r="N204" s="72"/>
      <c r="O204" s="72"/>
      <c r="P204" s="72"/>
      <c r="Q204" s="72"/>
      <c r="R204" s="72"/>
      <c r="S204" s="72"/>
      <c r="T204" s="72"/>
      <c r="U204" s="72"/>
      <c r="V204" s="72"/>
    </row>
    <row r="205" spans="1:22" s="181" customFormat="1" ht="14.25">
      <c r="A205" s="79" t="s">
        <v>405</v>
      </c>
      <c r="B205" s="79"/>
      <c r="C205" s="79"/>
      <c r="D205" s="79"/>
      <c r="E205" s="79"/>
      <c r="F205" s="79"/>
      <c r="G205" s="79"/>
      <c r="H205" s="79"/>
      <c r="I205" s="79"/>
      <c r="J205" s="199"/>
      <c r="K205" s="199"/>
      <c r="L205" s="193"/>
      <c r="M205" s="72"/>
      <c r="N205" s="72"/>
      <c r="O205" s="72"/>
      <c r="P205" s="72"/>
      <c r="Q205" s="72"/>
      <c r="R205" s="72"/>
      <c r="S205" s="72"/>
      <c r="T205" s="72"/>
      <c r="U205" s="72"/>
      <c r="V205" s="72"/>
    </row>
    <row r="206" spans="1:12" ht="14.25">
      <c r="A206" s="34" t="s">
        <v>406</v>
      </c>
      <c r="B206" s="35" t="s">
        <v>407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254"/>
    </row>
    <row r="207" spans="1:11" s="173" customFormat="1" ht="14.25">
      <c r="A207" s="37" t="s">
        <v>408</v>
      </c>
      <c r="B207" s="120">
        <v>9537</v>
      </c>
      <c r="C207" s="36" t="s">
        <v>700</v>
      </c>
      <c r="D207" s="40" t="s">
        <v>23</v>
      </c>
      <c r="E207" s="41">
        <f>E13</f>
        <v>370.04</v>
      </c>
      <c r="F207" s="41"/>
      <c r="G207" s="41"/>
      <c r="H207" s="41"/>
      <c r="I207" s="41"/>
      <c r="J207" s="41"/>
      <c r="K207" s="41"/>
    </row>
    <row r="208" spans="1:11" ht="14.25">
      <c r="A208" s="67" t="s">
        <v>424</v>
      </c>
      <c r="B208" s="67"/>
      <c r="C208" s="67"/>
      <c r="D208" s="67"/>
      <c r="E208" s="67"/>
      <c r="F208" s="67"/>
      <c r="G208" s="67"/>
      <c r="H208" s="67"/>
      <c r="I208" s="67"/>
      <c r="J208" s="199"/>
      <c r="K208" s="175"/>
    </row>
    <row r="209" spans="1:11" s="256" customFormat="1" ht="14.25">
      <c r="A209" s="148"/>
      <c r="B209" s="149"/>
      <c r="C209" s="255"/>
      <c r="D209" s="255"/>
      <c r="E209" s="255"/>
      <c r="F209" s="255"/>
      <c r="G209" s="255"/>
      <c r="H209" s="255"/>
      <c r="I209" s="255"/>
      <c r="J209" s="255"/>
      <c r="K209" s="255"/>
    </row>
    <row r="210" spans="1:11" s="259" customFormat="1" ht="15.75">
      <c r="A210" s="257" t="s">
        <v>425</v>
      </c>
      <c r="B210" s="257"/>
      <c r="C210" s="257"/>
      <c r="D210" s="257"/>
      <c r="E210" s="257"/>
      <c r="F210" s="257"/>
      <c r="G210" s="257"/>
      <c r="H210" s="257"/>
      <c r="I210" s="257"/>
      <c r="J210" s="258"/>
      <c r="K210" s="258"/>
    </row>
  </sheetData>
  <sheetProtection selectLockedCells="1" selectUnlockedCells="1"/>
  <mergeCells count="48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O9"/>
    <mergeCell ref="P9:T9"/>
    <mergeCell ref="B11:K11"/>
    <mergeCell ref="A14:I14"/>
    <mergeCell ref="B15:K15"/>
    <mergeCell ref="A21:I21"/>
    <mergeCell ref="B22:K22"/>
    <mergeCell ref="A31:I31"/>
    <mergeCell ref="B32:K32"/>
    <mergeCell ref="A48:I48"/>
    <mergeCell ref="B49:K49"/>
    <mergeCell ref="A56:I56"/>
    <mergeCell ref="B57:K57"/>
    <mergeCell ref="A75:I75"/>
    <mergeCell ref="B76:K76"/>
    <mergeCell ref="A82:I82"/>
    <mergeCell ref="B83:K83"/>
    <mergeCell ref="A104:I104"/>
    <mergeCell ref="B105:K105"/>
    <mergeCell ref="A113:I113"/>
    <mergeCell ref="B114:K114"/>
    <mergeCell ref="A157:I157"/>
    <mergeCell ref="B158:K158"/>
    <mergeCell ref="A160:I160"/>
    <mergeCell ref="B161:K161"/>
    <mergeCell ref="A170:I170"/>
    <mergeCell ref="B171:K171"/>
    <mergeCell ref="A187:I187"/>
    <mergeCell ref="B188:K188"/>
    <mergeCell ref="A196:I196"/>
    <mergeCell ref="B197:K197"/>
    <mergeCell ref="A202:I202"/>
    <mergeCell ref="B203:K203"/>
    <mergeCell ref="A205:I205"/>
    <mergeCell ref="B206:K206"/>
    <mergeCell ref="A208:I208"/>
    <mergeCell ref="C209:K209"/>
    <mergeCell ref="A210:I210"/>
  </mergeCells>
  <printOptions/>
  <pageMargins left="0.5118055555555555" right="0.5118055555555555" top="0.7875" bottom="0.7875" header="0.5118055555555555" footer="0.31527777777777777"/>
  <pageSetup fitToHeight="10" fitToWidth="1" horizontalDpi="300" verticalDpi="300" orientation="landscape" paperSize="77"/>
  <headerFooter alignWithMargins="0">
    <oddFooter>&amp;L&amp;"Calibri,Regular"&amp;11ADMINISTRAÇÃO&amp;C&amp;"Calibri,Regular"&amp;11Página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5"/>
  <sheetViews>
    <sheetView zoomScale="90" zoomScaleNormal="9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7.7109375" style="1" customWidth="1"/>
    <col min="2" max="2" width="14.7109375" style="1" customWidth="1"/>
    <col min="3" max="3" width="71.57421875" style="151" customWidth="1"/>
    <col min="4" max="4" width="10.140625" style="3" customWidth="1"/>
    <col min="5" max="5" width="11.8515625" style="4" customWidth="1"/>
    <col min="6" max="9" width="17.28125" style="2" customWidth="1"/>
    <col min="10" max="11" width="14.421875" style="2" customWidth="1"/>
    <col min="12" max="12" width="10.421875" style="2" customWidth="1"/>
    <col min="13" max="13" width="9.421875" style="2" customWidth="1"/>
    <col min="14" max="14" width="11.28125" style="2" customWidth="1"/>
    <col min="15" max="15" width="15.00390625" style="2" customWidth="1"/>
    <col min="16" max="18" width="9.421875" style="2" customWidth="1"/>
    <col min="19" max="19" width="14.140625" style="2" customWidth="1"/>
    <col min="20" max="16384" width="9.421875" style="2" customWidth="1"/>
  </cols>
  <sheetData>
    <row r="1" spans="1:11" s="6" customFormat="1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4:8" ht="14.25">
      <c r="D2" s="7"/>
      <c r="E2" s="8"/>
      <c r="F2" s="3"/>
      <c r="G2" s="3"/>
      <c r="H2" s="3"/>
    </row>
    <row r="3" spans="4:11" ht="18">
      <c r="D3" s="9" t="s">
        <v>701</v>
      </c>
      <c r="E3" s="10"/>
      <c r="F3" s="10"/>
      <c r="G3" s="10"/>
      <c r="H3" s="11"/>
      <c r="J3" s="12"/>
      <c r="K3" s="13"/>
    </row>
    <row r="4" spans="4:11" ht="14.25">
      <c r="D4" s="14" t="s">
        <v>2</v>
      </c>
      <c r="E4" s="15"/>
      <c r="F4" s="16"/>
      <c r="G4" s="16"/>
      <c r="H4" s="17"/>
      <c r="J4" s="18"/>
      <c r="K4" s="13"/>
    </row>
    <row r="5" spans="4:11" ht="14.25">
      <c r="D5" s="19" t="s">
        <v>702</v>
      </c>
      <c r="E5" s="19"/>
      <c r="F5" s="19"/>
      <c r="G5" s="19"/>
      <c r="H5" s="17"/>
      <c r="J5" s="18"/>
      <c r="K5" s="13"/>
    </row>
    <row r="6" spans="4:11" ht="14.25">
      <c r="D6" s="20" t="s">
        <v>703</v>
      </c>
      <c r="E6" s="20"/>
      <c r="F6" s="20"/>
      <c r="G6" s="20"/>
      <c r="H6" s="17"/>
      <c r="J6" s="18"/>
      <c r="K6" s="13"/>
    </row>
    <row r="7" spans="4:11" ht="14.25">
      <c r="D7" s="19" t="s">
        <v>5</v>
      </c>
      <c r="E7" s="19"/>
      <c r="F7" s="19"/>
      <c r="G7" s="19"/>
      <c r="H7" s="17"/>
      <c r="J7" s="18"/>
      <c r="K7" s="13"/>
    </row>
    <row r="8" spans="10:11" ht="14.25">
      <c r="J8" s="13"/>
      <c r="K8" s="13"/>
    </row>
    <row r="9" spans="1:20" s="6" customFormat="1" ht="15" customHeight="1">
      <c r="A9" s="21" t="s">
        <v>6</v>
      </c>
      <c r="B9" s="21" t="s">
        <v>7</v>
      </c>
      <c r="C9" s="23" t="s">
        <v>8</v>
      </c>
      <c r="D9" s="21" t="s">
        <v>9</v>
      </c>
      <c r="E9" s="22" t="s">
        <v>10</v>
      </c>
      <c r="F9" s="21" t="s">
        <v>11</v>
      </c>
      <c r="G9" s="21"/>
      <c r="H9" s="23" t="s">
        <v>12</v>
      </c>
      <c r="I9" s="23"/>
      <c r="J9" s="24" t="s">
        <v>13</v>
      </c>
      <c r="K9" s="25" t="s">
        <v>14</v>
      </c>
      <c r="L9" s="26"/>
      <c r="M9" s="26"/>
      <c r="N9" s="26"/>
      <c r="O9" s="26"/>
      <c r="P9" s="27"/>
      <c r="Q9" s="27"/>
      <c r="R9" s="27"/>
      <c r="S9" s="27"/>
      <c r="T9" s="27"/>
    </row>
    <row r="10" spans="1:20" ht="13.5">
      <c r="A10" s="21"/>
      <c r="B10" s="21"/>
      <c r="C10" s="23"/>
      <c r="D10" s="21"/>
      <c r="E10" s="22"/>
      <c r="F10" s="28" t="s">
        <v>15</v>
      </c>
      <c r="G10" s="29" t="s">
        <v>16</v>
      </c>
      <c r="H10" s="29" t="s">
        <v>15</v>
      </c>
      <c r="I10" s="29" t="s">
        <v>16</v>
      </c>
      <c r="J10" s="29" t="s">
        <v>17</v>
      </c>
      <c r="K10" s="31">
        <f>E4</f>
        <v>0</v>
      </c>
      <c r="L10" s="32"/>
      <c r="M10" s="33"/>
      <c r="N10" s="33"/>
      <c r="O10" s="33"/>
      <c r="P10" s="32"/>
      <c r="Q10" s="32"/>
      <c r="R10" s="33"/>
      <c r="S10" s="33"/>
      <c r="T10" s="32"/>
    </row>
    <row r="11" spans="1:20" ht="13.5">
      <c r="A11" s="34" t="s">
        <v>18</v>
      </c>
      <c r="B11" s="3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42" customFormat="1" ht="13.5">
      <c r="A12" s="37" t="s">
        <v>20</v>
      </c>
      <c r="B12" s="43">
        <v>73672</v>
      </c>
      <c r="C12" s="44" t="s">
        <v>25</v>
      </c>
      <c r="D12" s="40" t="s">
        <v>23</v>
      </c>
      <c r="E12" s="41">
        <v>721.22</v>
      </c>
      <c r="F12" s="41"/>
      <c r="G12" s="41"/>
      <c r="H12" s="41"/>
      <c r="I12" s="41"/>
      <c r="J12" s="41"/>
      <c r="K12" s="41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2" customFormat="1" ht="23.25">
      <c r="A13" s="37" t="s">
        <v>24</v>
      </c>
      <c r="B13" s="38" t="s">
        <v>42</v>
      </c>
      <c r="C13" s="44" t="s">
        <v>43</v>
      </c>
      <c r="D13" s="40" t="s">
        <v>23</v>
      </c>
      <c r="E13" s="41">
        <v>607.61</v>
      </c>
      <c r="F13" s="41"/>
      <c r="G13" s="41"/>
      <c r="H13" s="41"/>
      <c r="I13" s="41"/>
      <c r="J13" s="41"/>
      <c r="K13" s="41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3.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3"/>
      <c r="K14" s="54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3.5">
      <c r="A15" s="34" t="s">
        <v>65</v>
      </c>
      <c r="B15" s="35" t="s">
        <v>66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42" customFormat="1" ht="13.5">
      <c r="A16" s="56" t="s">
        <v>67</v>
      </c>
      <c r="B16" s="57" t="s">
        <v>68</v>
      </c>
      <c r="C16" s="58" t="s">
        <v>69</v>
      </c>
      <c r="D16" s="40" t="s">
        <v>346</v>
      </c>
      <c r="E16" s="41">
        <f>E12*0.25</f>
        <v>180.305</v>
      </c>
      <c r="F16" s="41"/>
      <c r="G16" s="41"/>
      <c r="H16" s="41"/>
      <c r="I16" s="41"/>
      <c r="J16" s="41"/>
      <c r="K16" s="41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42" customFormat="1" ht="13.5">
      <c r="A17" s="56" t="s">
        <v>430</v>
      </c>
      <c r="B17" s="57" t="s">
        <v>428</v>
      </c>
      <c r="C17" s="58" t="s">
        <v>429</v>
      </c>
      <c r="D17" s="40" t="s">
        <v>23</v>
      </c>
      <c r="E17" s="41">
        <v>367.87</v>
      </c>
      <c r="F17" s="41"/>
      <c r="G17" s="41"/>
      <c r="H17" s="41"/>
      <c r="I17" s="41"/>
      <c r="J17" s="41"/>
      <c r="K17" s="41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42" customFormat="1" ht="13.5">
      <c r="A18" s="56" t="s">
        <v>70</v>
      </c>
      <c r="B18" s="174" t="s">
        <v>432</v>
      </c>
      <c r="C18" s="58" t="s">
        <v>433</v>
      </c>
      <c r="D18" s="40" t="s">
        <v>346</v>
      </c>
      <c r="E18" s="41">
        <v>107.25</v>
      </c>
      <c r="F18" s="41"/>
      <c r="G18" s="41"/>
      <c r="H18" s="41"/>
      <c r="I18" s="41"/>
      <c r="J18" s="41"/>
      <c r="K18" s="41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42" customFormat="1" ht="13.5">
      <c r="A19" s="56" t="s">
        <v>71</v>
      </c>
      <c r="B19" s="174" t="s">
        <v>434</v>
      </c>
      <c r="C19" s="58" t="s">
        <v>435</v>
      </c>
      <c r="D19" s="177" t="s">
        <v>23</v>
      </c>
      <c r="E19" s="41">
        <v>550.01</v>
      </c>
      <c r="F19" s="41"/>
      <c r="G19" s="41"/>
      <c r="H19" s="41"/>
      <c r="I19" s="41"/>
      <c r="J19" s="41"/>
      <c r="K19" s="41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42" customFormat="1" ht="23.25">
      <c r="A20" s="56" t="s">
        <v>72</v>
      </c>
      <c r="B20" s="174">
        <v>72915</v>
      </c>
      <c r="C20" s="58" t="s">
        <v>431</v>
      </c>
      <c r="D20" s="40" t="s">
        <v>346</v>
      </c>
      <c r="E20" s="41">
        <f>(0.6*0.6*0.6)+(1.9*1.1*1.4)+((3.14*((1.2/2)*(1.2/2)))*5)</f>
        <v>8.794</v>
      </c>
      <c r="F20" s="41"/>
      <c r="G20" s="41"/>
      <c r="H20" s="41"/>
      <c r="I20" s="41"/>
      <c r="J20" s="41"/>
      <c r="K20" s="41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173" customFormat="1" ht="14.25">
      <c r="A21" s="56" t="s">
        <v>73</v>
      </c>
      <c r="B21" s="174">
        <v>6430</v>
      </c>
      <c r="C21" s="58" t="s">
        <v>359</v>
      </c>
      <c r="D21" s="40" t="s">
        <v>346</v>
      </c>
      <c r="E21" s="41">
        <v>76.56</v>
      </c>
      <c r="F21" s="41"/>
      <c r="G21" s="41"/>
      <c r="H21" s="41"/>
      <c r="I21" s="41"/>
      <c r="J21" s="41"/>
      <c r="K21" s="41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4.25">
      <c r="A22" s="67" t="s">
        <v>80</v>
      </c>
      <c r="B22" s="67"/>
      <c r="C22" s="67"/>
      <c r="D22" s="67"/>
      <c r="E22" s="67"/>
      <c r="F22" s="67"/>
      <c r="G22" s="67"/>
      <c r="H22" s="67"/>
      <c r="I22" s="67"/>
      <c r="J22" s="53"/>
      <c r="K22" s="260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3.5">
      <c r="A23" s="34" t="s">
        <v>81</v>
      </c>
      <c r="B23" s="35" t="s">
        <v>82</v>
      </c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42" customFormat="1" ht="13.5">
      <c r="A24" s="37" t="s">
        <v>83</v>
      </c>
      <c r="B24" s="37"/>
      <c r="C24" s="176" t="s">
        <v>436</v>
      </c>
      <c r="D24" s="177" t="s">
        <v>23</v>
      </c>
      <c r="E24" s="178">
        <v>276.6</v>
      </c>
      <c r="F24" s="178"/>
      <c r="G24" s="178"/>
      <c r="H24" s="178"/>
      <c r="I24" s="178"/>
      <c r="J24" s="178"/>
      <c r="K24" s="178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42" customFormat="1" ht="13.5">
      <c r="A25" s="37" t="s">
        <v>84</v>
      </c>
      <c r="B25" s="37" t="s">
        <v>437</v>
      </c>
      <c r="C25" s="176" t="s">
        <v>438</v>
      </c>
      <c r="D25" s="177" t="s">
        <v>346</v>
      </c>
      <c r="E25" s="178">
        <v>16.8</v>
      </c>
      <c r="F25" s="178"/>
      <c r="G25" s="178"/>
      <c r="H25" s="178"/>
      <c r="I25" s="178"/>
      <c r="J25" s="178"/>
      <c r="K25" s="178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2" customFormat="1" ht="13.5">
      <c r="A26" s="37" t="s">
        <v>85</v>
      </c>
      <c r="B26" s="37" t="s">
        <v>439</v>
      </c>
      <c r="C26" s="176" t="s">
        <v>440</v>
      </c>
      <c r="D26" s="177" t="s">
        <v>346</v>
      </c>
      <c r="E26" s="178">
        <v>16.8</v>
      </c>
      <c r="F26" s="178"/>
      <c r="G26" s="178"/>
      <c r="H26" s="178"/>
      <c r="I26" s="178"/>
      <c r="J26" s="178"/>
      <c r="K26" s="178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13.5">
      <c r="A27" s="37" t="s">
        <v>86</v>
      </c>
      <c r="B27" s="37"/>
      <c r="C27" s="176" t="s">
        <v>441</v>
      </c>
      <c r="D27" s="177" t="s">
        <v>346</v>
      </c>
      <c r="E27" s="178">
        <v>3.69</v>
      </c>
      <c r="F27" s="178"/>
      <c r="G27" s="178"/>
      <c r="H27" s="178"/>
      <c r="I27" s="178"/>
      <c r="J27" s="178"/>
      <c r="K27" s="178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42" customFormat="1" ht="13.5">
      <c r="A28" s="37" t="s">
        <v>87</v>
      </c>
      <c r="B28" s="37"/>
      <c r="C28" s="176" t="s">
        <v>442</v>
      </c>
      <c r="D28" s="177" t="s">
        <v>346</v>
      </c>
      <c r="E28" s="178">
        <v>60.76</v>
      </c>
      <c r="F28" s="178"/>
      <c r="G28" s="178"/>
      <c r="H28" s="178"/>
      <c r="I28" s="178"/>
      <c r="J28" s="178"/>
      <c r="K28" s="178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42" customFormat="1" ht="13.5">
      <c r="A29" s="37" t="s">
        <v>88</v>
      </c>
      <c r="B29" s="37" t="s">
        <v>439</v>
      </c>
      <c r="C29" s="176" t="s">
        <v>443</v>
      </c>
      <c r="D29" s="177" t="s">
        <v>346</v>
      </c>
      <c r="E29" s="178">
        <v>60.76</v>
      </c>
      <c r="F29" s="178"/>
      <c r="G29" s="178"/>
      <c r="H29" s="178"/>
      <c r="I29" s="178"/>
      <c r="J29" s="178"/>
      <c r="K29" s="178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42" customFormat="1" ht="13.5">
      <c r="A30" s="37" t="s">
        <v>89</v>
      </c>
      <c r="B30" s="37"/>
      <c r="C30" s="176" t="s">
        <v>444</v>
      </c>
      <c r="D30" s="177" t="s">
        <v>23</v>
      </c>
      <c r="E30" s="178">
        <v>52.1</v>
      </c>
      <c r="F30" s="178"/>
      <c r="G30" s="178"/>
      <c r="H30" s="178"/>
      <c r="I30" s="178"/>
      <c r="J30" s="178"/>
      <c r="K30" s="178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42" customFormat="1" ht="13.5">
      <c r="A31" s="37" t="s">
        <v>90</v>
      </c>
      <c r="B31" s="179" t="s">
        <v>445</v>
      </c>
      <c r="C31" s="176" t="s">
        <v>446</v>
      </c>
      <c r="D31" s="177" t="s">
        <v>447</v>
      </c>
      <c r="E31" s="178">
        <v>572</v>
      </c>
      <c r="F31" s="178"/>
      <c r="G31" s="178"/>
      <c r="H31" s="178"/>
      <c r="I31" s="178"/>
      <c r="J31" s="178"/>
      <c r="K31" s="178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3.5">
      <c r="A32" s="67" t="s">
        <v>93</v>
      </c>
      <c r="B32" s="67"/>
      <c r="C32" s="67"/>
      <c r="D32" s="67"/>
      <c r="E32" s="67"/>
      <c r="F32" s="67"/>
      <c r="G32" s="67"/>
      <c r="H32" s="67"/>
      <c r="I32" s="67"/>
      <c r="J32" s="53"/>
      <c r="K32" s="53"/>
      <c r="L32" s="68"/>
      <c r="M32" s="36"/>
      <c r="N32" s="36"/>
      <c r="O32" s="36"/>
      <c r="P32" s="36"/>
      <c r="Q32" s="36"/>
      <c r="R32" s="36"/>
      <c r="S32" s="36"/>
      <c r="T32" s="36"/>
    </row>
    <row r="33" spans="1:22" s="73" customFormat="1" ht="13.5">
      <c r="A33" s="69" t="s">
        <v>94</v>
      </c>
      <c r="B33" s="70" t="s">
        <v>95</v>
      </c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s="261" customFormat="1" ht="14.25">
      <c r="A34" s="182" t="s">
        <v>96</v>
      </c>
      <c r="B34" s="182"/>
      <c r="C34" s="190" t="s">
        <v>448</v>
      </c>
      <c r="D34" s="184" t="s">
        <v>346</v>
      </c>
      <c r="E34" s="185">
        <v>2.12</v>
      </c>
      <c r="F34" s="186"/>
      <c r="G34" s="186"/>
      <c r="H34" s="186"/>
      <c r="I34" s="186"/>
      <c r="J34" s="186"/>
      <c r="K34" s="185"/>
      <c r="L34" s="187"/>
      <c r="M34" s="188"/>
      <c r="N34" s="188"/>
      <c r="O34" s="188"/>
      <c r="P34" s="188"/>
      <c r="Q34" s="188"/>
      <c r="R34" s="188"/>
      <c r="S34" s="188"/>
      <c r="T34" s="188"/>
      <c r="U34" s="188"/>
      <c r="V34" s="188"/>
    </row>
    <row r="35" spans="1:22" s="78" customFormat="1" ht="13.5">
      <c r="A35" s="182" t="s">
        <v>97</v>
      </c>
      <c r="B35" s="120" t="s">
        <v>517</v>
      </c>
      <c r="C35" s="262" t="s">
        <v>704</v>
      </c>
      <c r="D35" s="177" t="s">
        <v>23</v>
      </c>
      <c r="E35" s="263">
        <v>5.29</v>
      </c>
      <c r="F35" s="264"/>
      <c r="G35" s="264"/>
      <c r="H35" s="264"/>
      <c r="I35" s="264"/>
      <c r="J35" s="264"/>
      <c r="K35" s="178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s="78" customFormat="1" ht="23.25">
      <c r="A36" s="182" t="s">
        <v>98</v>
      </c>
      <c r="B36" s="182"/>
      <c r="C36" s="190" t="s">
        <v>449</v>
      </c>
      <c r="D36" s="184" t="s">
        <v>23</v>
      </c>
      <c r="E36" s="185">
        <v>260.8</v>
      </c>
      <c r="F36" s="264"/>
      <c r="G36" s="264"/>
      <c r="H36" s="264"/>
      <c r="I36" s="264"/>
      <c r="J36" s="265"/>
      <c r="K36" s="266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s="78" customFormat="1" ht="23.25">
      <c r="A37" s="182" t="s">
        <v>99</v>
      </c>
      <c r="B37" s="182"/>
      <c r="C37" s="190" t="s">
        <v>450</v>
      </c>
      <c r="D37" s="184" t="s">
        <v>23</v>
      </c>
      <c r="E37" s="185">
        <v>593.4</v>
      </c>
      <c r="F37" s="264"/>
      <c r="G37" s="264"/>
      <c r="H37" s="264"/>
      <c r="I37" s="264"/>
      <c r="J37" s="265"/>
      <c r="K37" s="266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s="78" customFormat="1" ht="13.5">
      <c r="A38" s="182" t="s">
        <v>100</v>
      </c>
      <c r="B38" s="37" t="s">
        <v>437</v>
      </c>
      <c r="C38" s="190" t="s">
        <v>451</v>
      </c>
      <c r="D38" s="184" t="s">
        <v>346</v>
      </c>
      <c r="E38" s="185">
        <v>34.4</v>
      </c>
      <c r="F38" s="264"/>
      <c r="G38" s="264"/>
      <c r="H38" s="264"/>
      <c r="I38" s="264"/>
      <c r="J38" s="265"/>
      <c r="K38" s="266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2" s="78" customFormat="1" ht="13.5">
      <c r="A39" s="182" t="s">
        <v>101</v>
      </c>
      <c r="B39" s="182" t="s">
        <v>452</v>
      </c>
      <c r="C39" s="190" t="s">
        <v>453</v>
      </c>
      <c r="D39" s="184" t="s">
        <v>346</v>
      </c>
      <c r="E39" s="185">
        <v>34.4</v>
      </c>
      <c r="F39" s="264"/>
      <c r="G39" s="264"/>
      <c r="H39" s="264"/>
      <c r="I39" s="264"/>
      <c r="J39" s="265"/>
      <c r="K39" s="266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2" s="78" customFormat="1" ht="13.5">
      <c r="A40" s="182" t="s">
        <v>102</v>
      </c>
      <c r="B40" s="37" t="s">
        <v>437</v>
      </c>
      <c r="C40" s="190" t="s">
        <v>454</v>
      </c>
      <c r="D40" s="184" t="s">
        <v>346</v>
      </c>
      <c r="E40" s="185">
        <v>14.7</v>
      </c>
      <c r="F40" s="264"/>
      <c r="G40" s="264"/>
      <c r="H40" s="264"/>
      <c r="I40" s="264"/>
      <c r="J40" s="265"/>
      <c r="K40" s="266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s="78" customFormat="1" ht="13.5">
      <c r="A41" s="182" t="s">
        <v>103</v>
      </c>
      <c r="B41" s="182" t="s">
        <v>452</v>
      </c>
      <c r="C41" s="190" t="s">
        <v>455</v>
      </c>
      <c r="D41" s="184" t="s">
        <v>346</v>
      </c>
      <c r="E41" s="185">
        <v>14.7</v>
      </c>
      <c r="F41" s="264"/>
      <c r="G41" s="264"/>
      <c r="H41" s="264"/>
      <c r="I41" s="264"/>
      <c r="J41" s="265"/>
      <c r="K41" s="266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s="78" customFormat="1" ht="13.5">
      <c r="A42" s="182" t="s">
        <v>104</v>
      </c>
      <c r="B42" s="179" t="s">
        <v>445</v>
      </c>
      <c r="C42" s="190" t="s">
        <v>456</v>
      </c>
      <c r="D42" s="184" t="s">
        <v>447</v>
      </c>
      <c r="E42" s="185">
        <v>1729.4</v>
      </c>
      <c r="F42" s="264"/>
      <c r="G42" s="264"/>
      <c r="H42" s="264"/>
      <c r="I42" s="264"/>
      <c r="J42" s="265"/>
      <c r="K42" s="266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s="78" customFormat="1" ht="13.5">
      <c r="A43" s="182" t="s">
        <v>105</v>
      </c>
      <c r="B43" s="37" t="s">
        <v>457</v>
      </c>
      <c r="C43" s="190" t="s">
        <v>458</v>
      </c>
      <c r="D43" s="184" t="s">
        <v>447</v>
      </c>
      <c r="E43" s="185">
        <v>343.7</v>
      </c>
      <c r="F43" s="264"/>
      <c r="G43" s="264"/>
      <c r="H43" s="264"/>
      <c r="I43" s="264"/>
      <c r="J43" s="265"/>
      <c r="K43" s="266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s="78" customFormat="1" ht="13.5">
      <c r="A44" s="182" t="s">
        <v>460</v>
      </c>
      <c r="B44" s="179" t="s">
        <v>445</v>
      </c>
      <c r="C44" s="190" t="s">
        <v>459</v>
      </c>
      <c r="D44" s="184" t="s">
        <v>447</v>
      </c>
      <c r="E44" s="185">
        <v>2289.8</v>
      </c>
      <c r="F44" s="264"/>
      <c r="G44" s="264"/>
      <c r="H44" s="264"/>
      <c r="I44" s="264"/>
      <c r="J44" s="265"/>
      <c r="K44" s="266"/>
      <c r="L44" s="71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s="78" customFormat="1" ht="13.5">
      <c r="A45" s="182" t="s">
        <v>462</v>
      </c>
      <c r="B45" s="37" t="s">
        <v>457</v>
      </c>
      <c r="C45" s="190" t="s">
        <v>461</v>
      </c>
      <c r="D45" s="184" t="s">
        <v>447</v>
      </c>
      <c r="E45" s="185">
        <v>662.9</v>
      </c>
      <c r="F45" s="264"/>
      <c r="G45" s="264"/>
      <c r="H45" s="264"/>
      <c r="I45" s="264"/>
      <c r="J45" s="265"/>
      <c r="K45" s="266"/>
      <c r="L45" s="71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2" s="78" customFormat="1" ht="23.25">
      <c r="A46" s="182" t="s">
        <v>705</v>
      </c>
      <c r="B46" s="182"/>
      <c r="C46" s="190" t="s">
        <v>706</v>
      </c>
      <c r="D46" s="184" t="s">
        <v>23</v>
      </c>
      <c r="E46" s="185">
        <v>522.61</v>
      </c>
      <c r="F46" s="264"/>
      <c r="G46" s="264"/>
      <c r="H46" s="264"/>
      <c r="I46" s="264"/>
      <c r="J46" s="265"/>
      <c r="K46" s="266"/>
      <c r="L46" s="71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s="78" customFormat="1" ht="13.5">
      <c r="A47" s="182" t="s">
        <v>464</v>
      </c>
      <c r="B47" s="182"/>
      <c r="C47" s="190" t="s">
        <v>465</v>
      </c>
      <c r="D47" s="184" t="s">
        <v>391</v>
      </c>
      <c r="E47" s="185">
        <v>5787</v>
      </c>
      <c r="F47" s="264"/>
      <c r="G47" s="264"/>
      <c r="H47" s="264"/>
      <c r="I47" s="264"/>
      <c r="J47" s="265"/>
      <c r="K47" s="266"/>
      <c r="L47" s="71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2" s="78" customFormat="1" ht="13.5">
      <c r="A48" s="182" t="s">
        <v>707</v>
      </c>
      <c r="B48" s="37" t="s">
        <v>437</v>
      </c>
      <c r="C48" s="190" t="s">
        <v>467</v>
      </c>
      <c r="D48" s="184" t="s">
        <v>346</v>
      </c>
      <c r="E48" s="185">
        <v>24.6</v>
      </c>
      <c r="F48" s="264"/>
      <c r="G48" s="264"/>
      <c r="H48" s="264"/>
      <c r="I48" s="264"/>
      <c r="J48" s="265"/>
      <c r="K48" s="266"/>
      <c r="L48" s="71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s="78" customFormat="1" ht="13.5">
      <c r="A49" s="182" t="s">
        <v>466</v>
      </c>
      <c r="B49" s="182" t="s">
        <v>452</v>
      </c>
      <c r="C49" s="190" t="s">
        <v>469</v>
      </c>
      <c r="D49" s="184" t="s">
        <v>346</v>
      </c>
      <c r="E49" s="185">
        <v>24.6</v>
      </c>
      <c r="F49" s="264"/>
      <c r="G49" s="264"/>
      <c r="H49" s="264"/>
      <c r="I49" s="264"/>
      <c r="J49" s="265"/>
      <c r="K49" s="266"/>
      <c r="L49" s="71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s="78" customFormat="1" ht="23.25">
      <c r="A50" s="182" t="s">
        <v>468</v>
      </c>
      <c r="B50" s="182"/>
      <c r="C50" s="190" t="s">
        <v>708</v>
      </c>
      <c r="D50" s="184" t="s">
        <v>23</v>
      </c>
      <c r="E50" s="185">
        <v>85</v>
      </c>
      <c r="F50" s="264"/>
      <c r="G50" s="264"/>
      <c r="H50" s="264"/>
      <c r="I50" s="264"/>
      <c r="J50" s="265"/>
      <c r="K50" s="266"/>
      <c r="L50" s="71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s="78" customFormat="1" ht="13.5">
      <c r="A51" s="182" t="s">
        <v>709</v>
      </c>
      <c r="B51" s="179" t="s">
        <v>445</v>
      </c>
      <c r="C51" s="190" t="s">
        <v>710</v>
      </c>
      <c r="D51" s="184" t="s">
        <v>447</v>
      </c>
      <c r="E51" s="185">
        <v>194.6</v>
      </c>
      <c r="F51" s="264"/>
      <c r="G51" s="264"/>
      <c r="H51" s="264"/>
      <c r="I51" s="264"/>
      <c r="J51" s="265"/>
      <c r="K51" s="266"/>
      <c r="L51" s="71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s="78" customFormat="1" ht="13.5">
      <c r="A52" s="182" t="s">
        <v>711</v>
      </c>
      <c r="B52" s="37" t="s">
        <v>457</v>
      </c>
      <c r="C52" s="190" t="s">
        <v>712</v>
      </c>
      <c r="D52" s="184" t="s">
        <v>447</v>
      </c>
      <c r="E52" s="185">
        <v>89.7</v>
      </c>
      <c r="F52" s="264"/>
      <c r="G52" s="264"/>
      <c r="H52" s="264"/>
      <c r="I52" s="264"/>
      <c r="J52" s="265"/>
      <c r="K52" s="266"/>
      <c r="L52" s="71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s="78" customFormat="1" ht="13.5">
      <c r="A53" s="182" t="s">
        <v>713</v>
      </c>
      <c r="B53" s="182"/>
      <c r="C53" s="190" t="s">
        <v>714</v>
      </c>
      <c r="D53" s="184" t="s">
        <v>189</v>
      </c>
      <c r="E53" s="185">
        <v>46.2</v>
      </c>
      <c r="F53" s="264"/>
      <c r="G53" s="264"/>
      <c r="H53" s="264"/>
      <c r="I53" s="264"/>
      <c r="J53" s="265"/>
      <c r="K53" s="266"/>
      <c r="L53" s="71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s="73" customFormat="1" ht="13.5">
      <c r="A54" s="79" t="s">
        <v>106</v>
      </c>
      <c r="B54" s="79"/>
      <c r="C54" s="79"/>
      <c r="D54" s="79"/>
      <c r="E54" s="79"/>
      <c r="F54" s="79"/>
      <c r="G54" s="79"/>
      <c r="H54" s="79"/>
      <c r="I54" s="79"/>
      <c r="J54" s="53"/>
      <c r="K54" s="53"/>
      <c r="L54" s="80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2" s="78" customFormat="1" ht="13.5">
      <c r="A55" s="74" t="s">
        <v>107</v>
      </c>
      <c r="B55" s="81" t="s">
        <v>108</v>
      </c>
      <c r="C55" s="81"/>
      <c r="D55" s="81"/>
      <c r="E55" s="81"/>
      <c r="F55" s="81"/>
      <c r="G55" s="81"/>
      <c r="H55" s="81"/>
      <c r="I55" s="81"/>
      <c r="J55" s="81"/>
      <c r="K55" s="81"/>
      <c r="L55" s="71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0" s="42" customFormat="1" ht="23.25">
      <c r="A56" s="37" t="s">
        <v>109</v>
      </c>
      <c r="B56" s="38" t="s">
        <v>470</v>
      </c>
      <c r="C56" s="44" t="s">
        <v>471</v>
      </c>
      <c r="D56" s="40" t="s">
        <v>23</v>
      </c>
      <c r="E56" s="83">
        <f>(4.13*(13.9))+(2.85*(3.15+3.15+3.15+3.5+4.9+14.58+4.55+2.5+3.55+4.75+((2.5+1.65)*9)+3+1.7+2.8+2.8))+(0.56*109.8)</f>
        <v>390.8705</v>
      </c>
      <c r="F56" s="41"/>
      <c r="G56" s="41"/>
      <c r="H56" s="41"/>
      <c r="I56" s="41"/>
      <c r="J56" s="41"/>
      <c r="K56" s="77"/>
      <c r="L56" s="68"/>
      <c r="M56" s="36"/>
      <c r="N56" s="36"/>
      <c r="O56" s="36"/>
      <c r="P56" s="36"/>
      <c r="Q56" s="36"/>
      <c r="R56" s="36"/>
      <c r="S56" s="36"/>
      <c r="T56" s="36"/>
    </row>
    <row r="57" spans="1:20" s="42" customFormat="1" ht="23.25">
      <c r="A57" s="37" t="s">
        <v>110</v>
      </c>
      <c r="B57" s="38" t="s">
        <v>472</v>
      </c>
      <c r="C57" s="44" t="s">
        <v>473</v>
      </c>
      <c r="D57" s="40" t="s">
        <v>23</v>
      </c>
      <c r="E57" s="83">
        <f>2.85*(117.6+14.2+9.85+10.25+9.35+9+9.35+9+9.35+9+5.15)</f>
        <v>604.4849999999999</v>
      </c>
      <c r="F57" s="41"/>
      <c r="G57" s="41"/>
      <c r="H57" s="41"/>
      <c r="I57" s="41"/>
      <c r="J57" s="41"/>
      <c r="K57" s="41"/>
      <c r="L57" s="36"/>
      <c r="M57" s="36"/>
      <c r="N57" s="36"/>
      <c r="O57" s="36"/>
      <c r="P57" s="36"/>
      <c r="Q57" s="36"/>
      <c r="R57" s="36"/>
      <c r="S57" s="36"/>
      <c r="T57" s="36"/>
    </row>
    <row r="58" spans="1:20" s="42" customFormat="1" ht="23.25">
      <c r="A58" s="37" t="s">
        <v>111</v>
      </c>
      <c r="B58" s="120">
        <v>72131</v>
      </c>
      <c r="C58" s="44" t="s">
        <v>474</v>
      </c>
      <c r="D58" s="40" t="s">
        <v>23</v>
      </c>
      <c r="E58" s="41">
        <f>2*0.9</f>
        <v>1.8</v>
      </c>
      <c r="F58" s="41"/>
      <c r="G58" s="41"/>
      <c r="H58" s="41"/>
      <c r="I58" s="41"/>
      <c r="J58" s="41"/>
      <c r="K58" s="41"/>
      <c r="L58" s="36"/>
      <c r="M58" s="36"/>
      <c r="N58" s="36"/>
      <c r="O58" s="36"/>
      <c r="P58" s="36"/>
      <c r="Q58" s="36"/>
      <c r="R58" s="36"/>
      <c r="S58" s="36"/>
      <c r="T58" s="36"/>
    </row>
    <row r="59" spans="1:20" s="42" customFormat="1" ht="24" customHeight="1">
      <c r="A59" s="37" t="s">
        <v>112</v>
      </c>
      <c r="B59" s="38" t="s">
        <v>475</v>
      </c>
      <c r="C59" s="44" t="s">
        <v>476</v>
      </c>
      <c r="D59" s="40" t="s">
        <v>346</v>
      </c>
      <c r="E59" s="41">
        <f>(0.2*0.1)*(2.4+(3.8*4)+(1.4*17)+(1.1*24)+(1.1*4)+(2.1*4)+(2.2*20)+(1.3*9))</f>
        <v>2.726000000000001</v>
      </c>
      <c r="F59" s="41"/>
      <c r="G59" s="41"/>
      <c r="H59" s="41"/>
      <c r="I59" s="41"/>
      <c r="J59" s="41"/>
      <c r="K59" s="41"/>
      <c r="L59" s="36"/>
      <c r="M59" s="36"/>
      <c r="N59" s="36"/>
      <c r="O59" s="36"/>
      <c r="P59" s="36"/>
      <c r="Q59" s="36"/>
      <c r="R59" s="36"/>
      <c r="S59" s="36"/>
      <c r="T59" s="36"/>
    </row>
    <row r="60" spans="1:20" s="42" customFormat="1" ht="23.25">
      <c r="A60" s="37" t="s">
        <v>113</v>
      </c>
      <c r="B60" s="120">
        <v>9875</v>
      </c>
      <c r="C60" s="44" t="s">
        <v>715</v>
      </c>
      <c r="D60" s="40" t="s">
        <v>23</v>
      </c>
      <c r="E60" s="41">
        <f>2.1*(11.78+2.5)</f>
        <v>29.988</v>
      </c>
      <c r="F60" s="41"/>
      <c r="G60" s="41"/>
      <c r="H60" s="41"/>
      <c r="I60" s="41"/>
      <c r="J60" s="41"/>
      <c r="K60" s="77"/>
      <c r="L60" s="68"/>
      <c r="M60" s="36"/>
      <c r="N60" s="36"/>
      <c r="O60" s="36"/>
      <c r="P60" s="36"/>
      <c r="Q60" s="36"/>
      <c r="R60" s="36"/>
      <c r="S60" s="36"/>
      <c r="T60" s="36"/>
    </row>
    <row r="61" spans="1:22" s="73" customFormat="1" ht="13.5">
      <c r="A61" s="79" t="s">
        <v>119</v>
      </c>
      <c r="B61" s="79"/>
      <c r="C61" s="79"/>
      <c r="D61" s="79"/>
      <c r="E61" s="79"/>
      <c r="F61" s="79"/>
      <c r="G61" s="79"/>
      <c r="H61" s="79"/>
      <c r="I61" s="79"/>
      <c r="J61" s="53"/>
      <c r="K61" s="53"/>
      <c r="L61" s="80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1:20" s="42" customFormat="1" ht="15.75" customHeight="1">
      <c r="A62" s="34" t="s">
        <v>120</v>
      </c>
      <c r="B62" s="35" t="s">
        <v>121</v>
      </c>
      <c r="C62" s="35"/>
      <c r="D62" s="35"/>
      <c r="E62" s="35"/>
      <c r="F62" s="35"/>
      <c r="G62" s="35"/>
      <c r="H62" s="35"/>
      <c r="I62" s="35"/>
      <c r="J62" s="35"/>
      <c r="K62" s="35"/>
      <c r="L62" s="68"/>
      <c r="M62" s="36"/>
      <c r="N62" s="36"/>
      <c r="O62" s="36"/>
      <c r="P62" s="36"/>
      <c r="Q62" s="36"/>
      <c r="R62" s="36"/>
      <c r="S62" s="36"/>
      <c r="T62" s="36"/>
    </row>
    <row r="63" spans="1:20" s="42" customFormat="1" ht="15.75" customHeight="1">
      <c r="A63" s="82" t="s">
        <v>122</v>
      </c>
      <c r="B63" s="198" t="s">
        <v>482</v>
      </c>
      <c r="C63" s="44" t="s">
        <v>483</v>
      </c>
      <c r="D63" s="40" t="s">
        <v>23</v>
      </c>
      <c r="E63" s="83">
        <f>E222+E223</f>
        <v>37.245000000000005</v>
      </c>
      <c r="F63" s="83"/>
      <c r="G63" s="83"/>
      <c r="H63" s="83"/>
      <c r="I63" s="83"/>
      <c r="J63" s="83"/>
      <c r="K63" s="41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42" customFormat="1" ht="15.75" customHeight="1">
      <c r="A64" s="82" t="s">
        <v>123</v>
      </c>
      <c r="B64" s="75" t="s">
        <v>484</v>
      </c>
      <c r="C64" s="44" t="s">
        <v>485</v>
      </c>
      <c r="D64" s="40" t="s">
        <v>23</v>
      </c>
      <c r="E64" s="83">
        <f>(4.5*1*4)+(4.7*1*1)+(2.2*1*2)+(1*3.55*1)+(3.25*2.5*2)</f>
        <v>46.900000000000006</v>
      </c>
      <c r="F64" s="83"/>
      <c r="G64" s="83"/>
      <c r="H64" s="83"/>
      <c r="I64" s="83"/>
      <c r="J64" s="83"/>
      <c r="K64" s="41"/>
      <c r="L64" s="36"/>
      <c r="M64" s="36"/>
      <c r="N64" s="36"/>
      <c r="O64" s="36"/>
      <c r="P64" s="36"/>
      <c r="Q64" s="36"/>
      <c r="R64" s="36"/>
      <c r="S64" s="36"/>
      <c r="T64" s="36"/>
    </row>
    <row r="65" spans="1:20" s="42" customFormat="1" ht="15.75" customHeight="1">
      <c r="A65" s="82" t="s">
        <v>124</v>
      </c>
      <c r="B65" s="75" t="s">
        <v>716</v>
      </c>
      <c r="C65" s="44" t="s">
        <v>717</v>
      </c>
      <c r="D65" s="40" t="s">
        <v>189</v>
      </c>
      <c r="E65" s="83">
        <f>6.29+4.31+9.08+12.61</f>
        <v>32.29</v>
      </c>
      <c r="F65" s="83"/>
      <c r="G65" s="83"/>
      <c r="H65" s="83"/>
      <c r="I65" s="83"/>
      <c r="J65" s="83"/>
      <c r="K65" s="41"/>
      <c r="L65" s="36"/>
      <c r="M65" s="36"/>
      <c r="N65" s="36"/>
      <c r="O65" s="36"/>
      <c r="P65" s="36"/>
      <c r="Q65" s="36"/>
      <c r="R65" s="36"/>
      <c r="S65" s="36"/>
      <c r="T65" s="36"/>
    </row>
    <row r="66" spans="1:20" s="42" customFormat="1" ht="15.75" customHeight="1">
      <c r="A66" s="82" t="s">
        <v>125</v>
      </c>
      <c r="B66" s="75" t="s">
        <v>718</v>
      </c>
      <c r="C66" s="44" t="s">
        <v>719</v>
      </c>
      <c r="D66" s="40" t="s">
        <v>189</v>
      </c>
      <c r="E66" s="83">
        <f>4.07+8.42+8.42+8.42+4.07+4.31+4.41+1.61+14.58+78+1.65</f>
        <v>137.96</v>
      </c>
      <c r="F66" s="83"/>
      <c r="G66" s="83"/>
      <c r="H66" s="83"/>
      <c r="I66" s="83"/>
      <c r="J66" s="83"/>
      <c r="K66" s="41"/>
      <c r="L66" s="36"/>
      <c r="M66" s="36"/>
      <c r="N66" s="36"/>
      <c r="O66" s="36"/>
      <c r="P66" s="36"/>
      <c r="Q66" s="36"/>
      <c r="R66" s="36"/>
      <c r="S66" s="36"/>
      <c r="T66" s="36"/>
    </row>
    <row r="67" spans="1:20" s="42" customFormat="1" ht="15.75" customHeight="1">
      <c r="A67" s="82" t="s">
        <v>126</v>
      </c>
      <c r="B67" s="75" t="s">
        <v>720</v>
      </c>
      <c r="C67" s="44" t="s">
        <v>721</v>
      </c>
      <c r="D67" s="40" t="s">
        <v>391</v>
      </c>
      <c r="E67" s="83">
        <v>1</v>
      </c>
      <c r="F67" s="83"/>
      <c r="G67" s="83"/>
      <c r="H67" s="83"/>
      <c r="I67" s="83"/>
      <c r="J67" s="83"/>
      <c r="K67" s="41"/>
      <c r="L67" s="36"/>
      <c r="M67" s="36"/>
      <c r="N67" s="36"/>
      <c r="O67" s="36"/>
      <c r="P67" s="36"/>
      <c r="Q67" s="36"/>
      <c r="R67" s="36"/>
      <c r="S67" s="36"/>
      <c r="T67" s="36"/>
    </row>
    <row r="68" spans="1:20" s="42" customFormat="1" ht="15.75" customHeight="1">
      <c r="A68" s="82" t="s">
        <v>127</v>
      </c>
      <c r="B68" s="75"/>
      <c r="C68" s="44" t="s">
        <v>488</v>
      </c>
      <c r="D68" s="40" t="s">
        <v>391</v>
      </c>
      <c r="E68" s="83">
        <v>6</v>
      </c>
      <c r="F68" s="83"/>
      <c r="G68" s="83"/>
      <c r="H68" s="83"/>
      <c r="I68" s="83"/>
      <c r="J68" s="83"/>
      <c r="K68" s="41"/>
      <c r="L68" s="36"/>
      <c r="M68" s="36"/>
      <c r="N68" s="36"/>
      <c r="O68" s="36"/>
      <c r="P68" s="36"/>
      <c r="Q68" s="36"/>
      <c r="R68" s="36"/>
      <c r="S68" s="36"/>
      <c r="T68" s="36"/>
    </row>
    <row r="69" spans="1:20" s="42" customFormat="1" ht="15.75" customHeight="1">
      <c r="A69" s="82" t="s">
        <v>128</v>
      </c>
      <c r="B69" s="75"/>
      <c r="C69" s="44" t="s">
        <v>722</v>
      </c>
      <c r="D69" s="40" t="s">
        <v>391</v>
      </c>
      <c r="E69" s="83">
        <v>2</v>
      </c>
      <c r="F69" s="83"/>
      <c r="G69" s="83"/>
      <c r="H69" s="83"/>
      <c r="I69" s="83"/>
      <c r="J69" s="83"/>
      <c r="K69" s="41"/>
      <c r="L69" s="36"/>
      <c r="M69" s="36"/>
      <c r="N69" s="36"/>
      <c r="O69" s="36"/>
      <c r="P69" s="36"/>
      <c r="Q69" s="36"/>
      <c r="R69" s="36"/>
      <c r="S69" s="36"/>
      <c r="T69" s="36"/>
    </row>
    <row r="70" spans="1:20" s="42" customFormat="1" ht="15.75" customHeight="1">
      <c r="A70" s="82" t="s">
        <v>129</v>
      </c>
      <c r="B70" s="75"/>
      <c r="C70" s="44" t="s">
        <v>723</v>
      </c>
      <c r="D70" s="40" t="s">
        <v>391</v>
      </c>
      <c r="E70" s="83">
        <v>1</v>
      </c>
      <c r="F70" s="83"/>
      <c r="G70" s="83"/>
      <c r="H70" s="83"/>
      <c r="I70" s="83"/>
      <c r="J70" s="83"/>
      <c r="K70" s="41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42" customFormat="1" ht="15.75" customHeight="1">
      <c r="A71" s="82" t="s">
        <v>130</v>
      </c>
      <c r="B71" s="75"/>
      <c r="C71" s="44" t="s">
        <v>489</v>
      </c>
      <c r="D71" s="40" t="s">
        <v>391</v>
      </c>
      <c r="E71" s="83">
        <v>3</v>
      </c>
      <c r="F71" s="83"/>
      <c r="G71" s="83"/>
      <c r="H71" s="83"/>
      <c r="I71" s="83"/>
      <c r="J71" s="83"/>
      <c r="K71" s="41"/>
      <c r="L71" s="36"/>
      <c r="M71" s="36"/>
      <c r="N71" s="36"/>
      <c r="O71" s="36"/>
      <c r="P71" s="36"/>
      <c r="Q71" s="36"/>
      <c r="R71" s="36"/>
      <c r="S71" s="36"/>
      <c r="T71" s="36"/>
    </row>
    <row r="72" spans="1:20" s="42" customFormat="1" ht="15.75" customHeight="1">
      <c r="A72" s="82" t="s">
        <v>131</v>
      </c>
      <c r="B72" s="75"/>
      <c r="C72" s="44" t="s">
        <v>724</v>
      </c>
      <c r="D72" s="40" t="s">
        <v>391</v>
      </c>
      <c r="E72" s="83">
        <v>1</v>
      </c>
      <c r="F72" s="83"/>
      <c r="G72" s="83"/>
      <c r="H72" s="83"/>
      <c r="I72" s="83"/>
      <c r="J72" s="83"/>
      <c r="K72" s="41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42" customFormat="1" ht="23.25">
      <c r="A73" s="82" t="s">
        <v>497</v>
      </c>
      <c r="B73" s="38" t="s">
        <v>490</v>
      </c>
      <c r="C73" s="44" t="s">
        <v>491</v>
      </c>
      <c r="D73" s="40" t="s">
        <v>391</v>
      </c>
      <c r="E73" s="83">
        <v>16</v>
      </c>
      <c r="F73" s="83"/>
      <c r="G73" s="83"/>
      <c r="H73" s="83"/>
      <c r="I73" s="83"/>
      <c r="J73" s="83"/>
      <c r="K73" s="41"/>
      <c r="L73" s="36"/>
      <c r="M73" s="36"/>
      <c r="N73" s="36"/>
      <c r="O73" s="36"/>
      <c r="P73" s="36"/>
      <c r="Q73" s="36"/>
      <c r="R73" s="36"/>
      <c r="S73" s="36"/>
      <c r="T73" s="36"/>
    </row>
    <row r="74" spans="1:20" s="42" customFormat="1" ht="13.5">
      <c r="A74" s="82" t="s">
        <v>500</v>
      </c>
      <c r="B74" s="38" t="s">
        <v>495</v>
      </c>
      <c r="C74" s="44" t="s">
        <v>496</v>
      </c>
      <c r="D74" s="40" t="s">
        <v>391</v>
      </c>
      <c r="E74" s="83">
        <v>1</v>
      </c>
      <c r="F74" s="83"/>
      <c r="G74" s="83"/>
      <c r="H74" s="83"/>
      <c r="I74" s="83"/>
      <c r="J74" s="83"/>
      <c r="K74" s="41"/>
      <c r="L74" s="36"/>
      <c r="M74" s="36"/>
      <c r="N74" s="36"/>
      <c r="O74" s="36"/>
      <c r="P74" s="36"/>
      <c r="Q74" s="36"/>
      <c r="R74" s="36"/>
      <c r="S74" s="36"/>
      <c r="T74" s="36"/>
    </row>
    <row r="75" spans="1:20" s="42" customFormat="1" ht="23.25">
      <c r="A75" s="82" t="s">
        <v>503</v>
      </c>
      <c r="B75" s="38" t="s">
        <v>725</v>
      </c>
      <c r="C75" s="44" t="s">
        <v>726</v>
      </c>
      <c r="D75" s="40" t="s">
        <v>391</v>
      </c>
      <c r="E75" s="83">
        <v>9</v>
      </c>
      <c r="F75" s="83"/>
      <c r="G75" s="83"/>
      <c r="H75" s="83"/>
      <c r="I75" s="83"/>
      <c r="J75" s="83"/>
      <c r="K75" s="41"/>
      <c r="L75" s="36"/>
      <c r="M75" s="36"/>
      <c r="N75" s="36"/>
      <c r="O75" s="36"/>
      <c r="P75" s="36"/>
      <c r="Q75" s="36"/>
      <c r="R75" s="36"/>
      <c r="S75" s="36"/>
      <c r="T75" s="36"/>
    </row>
    <row r="76" spans="1:20" s="42" customFormat="1" ht="13.5">
      <c r="A76" s="82" t="s">
        <v>505</v>
      </c>
      <c r="B76" s="120">
        <v>68050</v>
      </c>
      <c r="C76" s="44" t="s">
        <v>727</v>
      </c>
      <c r="D76" s="40" t="s">
        <v>391</v>
      </c>
      <c r="E76" s="83">
        <v>1</v>
      </c>
      <c r="F76" s="83"/>
      <c r="G76" s="83"/>
      <c r="H76" s="83"/>
      <c r="I76" s="83"/>
      <c r="J76" s="83"/>
      <c r="K76" s="41"/>
      <c r="L76" s="36"/>
      <c r="M76" s="36"/>
      <c r="N76" s="36"/>
      <c r="O76" s="36"/>
      <c r="P76" s="36"/>
      <c r="Q76" s="36"/>
      <c r="R76" s="36"/>
      <c r="S76" s="36"/>
      <c r="T76" s="36"/>
    </row>
    <row r="77" spans="1:20" s="42" customFormat="1" ht="23.25">
      <c r="A77" s="82" t="s">
        <v>508</v>
      </c>
      <c r="B77" s="38" t="s">
        <v>501</v>
      </c>
      <c r="C77" s="44" t="s">
        <v>502</v>
      </c>
      <c r="D77" s="40" t="s">
        <v>391</v>
      </c>
      <c r="E77" s="83">
        <v>1</v>
      </c>
      <c r="F77" s="83"/>
      <c r="G77" s="83"/>
      <c r="H77" s="83"/>
      <c r="I77" s="83"/>
      <c r="J77" s="83"/>
      <c r="K77" s="41"/>
      <c r="L77" s="36"/>
      <c r="M77" s="36"/>
      <c r="N77" s="36"/>
      <c r="O77" s="36"/>
      <c r="P77" s="36"/>
      <c r="Q77" s="36"/>
      <c r="R77" s="36"/>
      <c r="S77" s="36"/>
      <c r="T77" s="36"/>
    </row>
    <row r="78" spans="1:20" s="42" customFormat="1" ht="13.5">
      <c r="A78" s="82" t="s">
        <v>511</v>
      </c>
      <c r="B78" s="120">
        <v>68050</v>
      </c>
      <c r="C78" s="44" t="s">
        <v>728</v>
      </c>
      <c r="D78" s="40" t="s">
        <v>391</v>
      </c>
      <c r="E78" s="83">
        <v>3</v>
      </c>
      <c r="F78" s="83"/>
      <c r="G78" s="83"/>
      <c r="H78" s="83"/>
      <c r="I78" s="83"/>
      <c r="J78" s="83"/>
      <c r="K78" s="41"/>
      <c r="L78" s="36"/>
      <c r="M78" s="36"/>
      <c r="N78" s="36"/>
      <c r="O78" s="36"/>
      <c r="P78" s="36"/>
      <c r="Q78" s="36"/>
      <c r="R78" s="36"/>
      <c r="S78" s="36"/>
      <c r="T78" s="36"/>
    </row>
    <row r="79" spans="1:20" s="42" customFormat="1" ht="13.5">
      <c r="A79" s="82" t="s">
        <v>514</v>
      </c>
      <c r="B79" s="38" t="s">
        <v>495</v>
      </c>
      <c r="C79" s="44" t="s">
        <v>729</v>
      </c>
      <c r="D79" s="40" t="s">
        <v>391</v>
      </c>
      <c r="E79" s="83">
        <v>2</v>
      </c>
      <c r="F79" s="83"/>
      <c r="G79" s="83"/>
      <c r="H79" s="83"/>
      <c r="I79" s="83"/>
      <c r="J79" s="83"/>
      <c r="K79" s="41"/>
      <c r="L79" s="36"/>
      <c r="M79" s="36"/>
      <c r="N79" s="36"/>
      <c r="O79" s="36"/>
      <c r="P79" s="36"/>
      <c r="Q79" s="36"/>
      <c r="R79" s="36"/>
      <c r="S79" s="36"/>
      <c r="T79" s="36"/>
    </row>
    <row r="80" spans="1:20" s="42" customFormat="1" ht="13.5">
      <c r="A80" s="82" t="s">
        <v>730</v>
      </c>
      <c r="B80" s="38" t="s">
        <v>486</v>
      </c>
      <c r="C80" s="44" t="s">
        <v>504</v>
      </c>
      <c r="D80" s="40" t="s">
        <v>391</v>
      </c>
      <c r="E80" s="83">
        <v>1</v>
      </c>
      <c r="F80" s="83"/>
      <c r="G80" s="83"/>
      <c r="H80" s="83"/>
      <c r="I80" s="83"/>
      <c r="J80" s="83"/>
      <c r="K80" s="41"/>
      <c r="L80" s="36"/>
      <c r="M80" s="36"/>
      <c r="N80" s="36"/>
      <c r="O80" s="36"/>
      <c r="P80" s="36"/>
      <c r="Q80" s="36"/>
      <c r="R80" s="36"/>
      <c r="S80" s="36"/>
      <c r="T80" s="36"/>
    </row>
    <row r="81" spans="1:20" s="42" customFormat="1" ht="13.5">
      <c r="A81" s="82" t="s">
        <v>731</v>
      </c>
      <c r="B81" s="120" t="s">
        <v>506</v>
      </c>
      <c r="C81" s="44" t="s">
        <v>732</v>
      </c>
      <c r="D81" s="40" t="s">
        <v>391</v>
      </c>
      <c r="E81" s="41">
        <v>12</v>
      </c>
      <c r="F81" s="83"/>
      <c r="G81" s="83"/>
      <c r="H81" s="83"/>
      <c r="I81" s="83"/>
      <c r="J81" s="83"/>
      <c r="K81" s="41"/>
      <c r="L81" s="36"/>
      <c r="M81" s="36"/>
      <c r="N81" s="36"/>
      <c r="O81" s="36"/>
      <c r="P81" s="36"/>
      <c r="Q81" s="36"/>
      <c r="R81" s="36"/>
      <c r="S81" s="36"/>
      <c r="T81" s="36"/>
    </row>
    <row r="82" spans="1:20" s="42" customFormat="1" ht="13.5">
      <c r="A82" s="82" t="s">
        <v>733</v>
      </c>
      <c r="B82" s="120" t="s">
        <v>506</v>
      </c>
      <c r="C82" s="44" t="s">
        <v>734</v>
      </c>
      <c r="D82" s="40" t="s">
        <v>391</v>
      </c>
      <c r="E82" s="41">
        <v>2</v>
      </c>
      <c r="F82" s="83"/>
      <c r="G82" s="83"/>
      <c r="H82" s="83"/>
      <c r="I82" s="83"/>
      <c r="J82" s="83"/>
      <c r="K82" s="41"/>
      <c r="L82" s="36"/>
      <c r="M82" s="36"/>
      <c r="N82" s="36"/>
      <c r="O82" s="36"/>
      <c r="P82" s="36"/>
      <c r="Q82" s="36"/>
      <c r="R82" s="36"/>
      <c r="S82" s="36"/>
      <c r="T82" s="36"/>
    </row>
    <row r="83" spans="1:20" s="42" customFormat="1" ht="13.5">
      <c r="A83" s="82" t="s">
        <v>735</v>
      </c>
      <c r="B83" s="38" t="s">
        <v>515</v>
      </c>
      <c r="C83" s="44" t="s">
        <v>736</v>
      </c>
      <c r="D83" s="40" t="s">
        <v>391</v>
      </c>
      <c r="E83" s="41">
        <v>1</v>
      </c>
      <c r="F83" s="83"/>
      <c r="G83" s="83"/>
      <c r="H83" s="83"/>
      <c r="I83" s="83"/>
      <c r="J83" s="83"/>
      <c r="K83" s="41"/>
      <c r="L83" s="36"/>
      <c r="M83" s="36"/>
      <c r="N83" s="36"/>
      <c r="O83" s="36"/>
      <c r="P83" s="36"/>
      <c r="Q83" s="36"/>
      <c r="R83" s="36"/>
      <c r="S83" s="36"/>
      <c r="T83" s="36"/>
    </row>
    <row r="84" spans="1:20" s="42" customFormat="1" ht="13.5">
      <c r="A84" s="82" t="s">
        <v>737</v>
      </c>
      <c r="B84" s="38" t="s">
        <v>515</v>
      </c>
      <c r="C84" s="44" t="s">
        <v>738</v>
      </c>
      <c r="D84" s="40" t="s">
        <v>391</v>
      </c>
      <c r="E84" s="41">
        <v>10</v>
      </c>
      <c r="F84" s="83"/>
      <c r="G84" s="83"/>
      <c r="H84" s="83"/>
      <c r="I84" s="83"/>
      <c r="J84" s="83"/>
      <c r="K84" s="41"/>
      <c r="L84" s="36"/>
      <c r="M84" s="36"/>
      <c r="N84" s="36"/>
      <c r="O84" s="36"/>
      <c r="P84" s="36"/>
      <c r="Q84" s="36"/>
      <c r="R84" s="36"/>
      <c r="S84" s="36"/>
      <c r="T84" s="36"/>
    </row>
    <row r="85" spans="1:20" s="42" customFormat="1" ht="13.5">
      <c r="A85" s="82" t="s">
        <v>739</v>
      </c>
      <c r="B85" s="38" t="s">
        <v>515</v>
      </c>
      <c r="C85" s="44" t="s">
        <v>740</v>
      </c>
      <c r="D85" s="40" t="s">
        <v>391</v>
      </c>
      <c r="E85" s="41">
        <v>1</v>
      </c>
      <c r="F85" s="83"/>
      <c r="G85" s="83"/>
      <c r="H85" s="83"/>
      <c r="I85" s="83"/>
      <c r="J85" s="83"/>
      <c r="K85" s="41"/>
      <c r="L85" s="36"/>
      <c r="M85" s="36"/>
      <c r="N85" s="36"/>
      <c r="O85" s="36"/>
      <c r="P85" s="36"/>
      <c r="Q85" s="36"/>
      <c r="R85" s="36"/>
      <c r="S85" s="36"/>
      <c r="T85" s="36"/>
    </row>
    <row r="86" spans="1:20" s="42" customFormat="1" ht="15.75" customHeight="1">
      <c r="A86" s="67" t="s">
        <v>132</v>
      </c>
      <c r="B86" s="67"/>
      <c r="C86" s="67"/>
      <c r="D86" s="67"/>
      <c r="E86" s="67"/>
      <c r="F86" s="67"/>
      <c r="G86" s="67"/>
      <c r="H86" s="67"/>
      <c r="I86" s="67"/>
      <c r="J86" s="267"/>
      <c r="K86" s="267"/>
      <c r="L86" s="68"/>
      <c r="M86" s="36"/>
      <c r="N86" s="36"/>
      <c r="O86" s="36"/>
      <c r="P86" s="36"/>
      <c r="Q86" s="36"/>
      <c r="R86" s="36"/>
      <c r="S86" s="36"/>
      <c r="T86" s="36"/>
    </row>
    <row r="87" spans="1:22" s="73" customFormat="1" ht="13.5" customHeight="1">
      <c r="A87" s="69" t="s">
        <v>133</v>
      </c>
      <c r="B87" s="85" t="s">
        <v>134</v>
      </c>
      <c r="C87" s="85"/>
      <c r="D87" s="85"/>
      <c r="E87" s="85"/>
      <c r="F87" s="85"/>
      <c r="G87" s="85"/>
      <c r="H87" s="85"/>
      <c r="I87" s="85"/>
      <c r="J87" s="85"/>
      <c r="K87" s="85"/>
      <c r="L87" s="71"/>
      <c r="M87" s="72"/>
      <c r="N87" s="72"/>
      <c r="O87" s="72"/>
      <c r="P87" s="72"/>
      <c r="Q87" s="72"/>
      <c r="R87" s="72"/>
      <c r="S87" s="72"/>
      <c r="T87" s="72"/>
      <c r="U87" s="72"/>
      <c r="V87" s="72"/>
    </row>
    <row r="88" spans="1:22" s="78" customFormat="1" ht="23.25">
      <c r="A88" s="74" t="s">
        <v>135</v>
      </c>
      <c r="B88" s="120" t="s">
        <v>517</v>
      </c>
      <c r="C88" s="47" t="s">
        <v>741</v>
      </c>
      <c r="D88" s="75" t="s">
        <v>23</v>
      </c>
      <c r="E88" s="76">
        <f>582.45+2.6</f>
        <v>585.0500000000001</v>
      </c>
      <c r="F88" s="41"/>
      <c r="G88" s="41"/>
      <c r="H88" s="41"/>
      <c r="I88" s="41"/>
      <c r="J88" s="77"/>
      <c r="K88" s="41"/>
      <c r="L88" s="71"/>
      <c r="M88" s="72"/>
      <c r="N88" s="72"/>
      <c r="O88" s="72"/>
      <c r="P88" s="72"/>
      <c r="Q88" s="72"/>
      <c r="R88" s="72"/>
      <c r="S88" s="72"/>
      <c r="T88" s="72"/>
      <c r="U88" s="72"/>
      <c r="V88" s="72"/>
    </row>
    <row r="89" spans="1:22" s="78" customFormat="1" ht="23.25">
      <c r="A89" s="74" t="s">
        <v>136</v>
      </c>
      <c r="B89" s="120" t="s">
        <v>519</v>
      </c>
      <c r="C89" s="47" t="s">
        <v>520</v>
      </c>
      <c r="D89" s="75" t="s">
        <v>23</v>
      </c>
      <c r="E89" s="41">
        <f>E88*1.005</f>
        <v>587.97525</v>
      </c>
      <c r="F89" s="41"/>
      <c r="G89" s="41"/>
      <c r="H89" s="41"/>
      <c r="I89" s="41"/>
      <c r="J89" s="77"/>
      <c r="K89" s="41"/>
      <c r="L89" s="71"/>
      <c r="M89" s="72"/>
      <c r="N89" s="72"/>
      <c r="O89" s="72"/>
      <c r="P89" s="72"/>
      <c r="Q89" s="72"/>
      <c r="R89" s="72"/>
      <c r="S89" s="72"/>
      <c r="T89" s="72"/>
      <c r="U89" s="72"/>
      <c r="V89" s="72"/>
    </row>
    <row r="90" spans="1:22" s="78" customFormat="1" ht="13.5">
      <c r="A90" s="74" t="s">
        <v>137</v>
      </c>
      <c r="B90" s="120">
        <v>72104</v>
      </c>
      <c r="C90" s="47" t="s">
        <v>521</v>
      </c>
      <c r="D90" s="75" t="s">
        <v>189</v>
      </c>
      <c r="E90" s="41">
        <f>(11.7+11.7+10.35)*1.005</f>
        <v>33.918749999999996</v>
      </c>
      <c r="F90" s="41"/>
      <c r="G90" s="41"/>
      <c r="H90" s="41"/>
      <c r="I90" s="41"/>
      <c r="J90" s="77"/>
      <c r="K90" s="41"/>
      <c r="L90" s="71"/>
      <c r="M90" s="72"/>
      <c r="N90" s="72"/>
      <c r="O90" s="72"/>
      <c r="P90" s="72"/>
      <c r="Q90" s="72"/>
      <c r="R90" s="72"/>
      <c r="S90" s="72"/>
      <c r="T90" s="72"/>
      <c r="U90" s="72"/>
      <c r="V90" s="72"/>
    </row>
    <row r="91" spans="1:22" s="78" customFormat="1" ht="13.5">
      <c r="A91" s="74" t="s">
        <v>138</v>
      </c>
      <c r="B91" s="120">
        <v>72106</v>
      </c>
      <c r="C91" s="47" t="s">
        <v>522</v>
      </c>
      <c r="D91" s="75" t="s">
        <v>189</v>
      </c>
      <c r="E91" s="41">
        <f>(9.45+11.7+11.7+(8*1.4))*1.005</f>
        <v>44.27024999999999</v>
      </c>
      <c r="F91" s="41"/>
      <c r="G91" s="41"/>
      <c r="H91" s="41"/>
      <c r="I91" s="41"/>
      <c r="J91" s="77"/>
      <c r="K91" s="41"/>
      <c r="L91" s="71"/>
      <c r="M91" s="72"/>
      <c r="N91" s="72"/>
      <c r="O91" s="72"/>
      <c r="P91" s="72"/>
      <c r="Q91" s="72"/>
      <c r="R91" s="72"/>
      <c r="S91" s="72"/>
      <c r="T91" s="72"/>
      <c r="U91" s="72"/>
      <c r="V91" s="72"/>
    </row>
    <row r="92" spans="1:22" s="261" customFormat="1" ht="14.25">
      <c r="A92" s="182" t="s">
        <v>139</v>
      </c>
      <c r="B92" s="250"/>
      <c r="C92" s="251" t="s">
        <v>742</v>
      </c>
      <c r="D92" s="268" t="s">
        <v>346</v>
      </c>
      <c r="E92" s="83">
        <f>2*(43*0.3*0.1)</f>
        <v>2.5800000000000005</v>
      </c>
      <c r="F92" s="83"/>
      <c r="G92" s="83"/>
      <c r="H92" s="83"/>
      <c r="I92" s="83"/>
      <c r="J92" s="192"/>
      <c r="K92" s="83"/>
      <c r="L92" s="187"/>
      <c r="M92" s="188"/>
      <c r="N92" s="188"/>
      <c r="O92" s="188"/>
      <c r="P92" s="188"/>
      <c r="Q92" s="188"/>
      <c r="R92" s="188"/>
      <c r="S92" s="188"/>
      <c r="T92" s="188"/>
      <c r="U92" s="188"/>
      <c r="V92" s="188"/>
    </row>
    <row r="93" spans="1:22" s="78" customFormat="1" ht="13.5">
      <c r="A93" s="74" t="s">
        <v>140</v>
      </c>
      <c r="B93" s="120">
        <v>72104</v>
      </c>
      <c r="C93" s="47" t="s">
        <v>523</v>
      </c>
      <c r="D93" s="75" t="s">
        <v>189</v>
      </c>
      <c r="E93" s="41">
        <f>(44.05*2)*1.005</f>
        <v>88.54049999999998</v>
      </c>
      <c r="F93" s="41"/>
      <c r="G93" s="41"/>
      <c r="H93" s="41"/>
      <c r="I93" s="41"/>
      <c r="J93" s="77"/>
      <c r="K93" s="41"/>
      <c r="L93" s="71"/>
      <c r="M93" s="72"/>
      <c r="N93" s="72"/>
      <c r="O93" s="72"/>
      <c r="P93" s="72"/>
      <c r="Q93" s="72"/>
      <c r="R93" s="72"/>
      <c r="S93" s="72"/>
      <c r="T93" s="72"/>
      <c r="U93" s="72"/>
      <c r="V93" s="72"/>
    </row>
    <row r="94" spans="1:22" s="73" customFormat="1" ht="14.25">
      <c r="A94" s="79" t="s">
        <v>145</v>
      </c>
      <c r="B94" s="79"/>
      <c r="C94" s="79"/>
      <c r="D94" s="79"/>
      <c r="E94" s="79"/>
      <c r="F94" s="79"/>
      <c r="G94" s="79"/>
      <c r="H94" s="79"/>
      <c r="I94" s="79"/>
      <c r="J94" s="267"/>
      <c r="K94" s="267"/>
      <c r="L94" s="80"/>
      <c r="M94" s="72"/>
      <c r="N94" s="72"/>
      <c r="O94" s="72"/>
      <c r="P94" s="72"/>
      <c r="Q94" s="72"/>
      <c r="R94" s="72"/>
      <c r="S94" s="72"/>
      <c r="T94" s="72"/>
      <c r="U94" s="72"/>
      <c r="V94" s="72"/>
    </row>
    <row r="95" spans="1:20" s="42" customFormat="1" ht="13.5">
      <c r="A95" s="37" t="s">
        <v>146</v>
      </c>
      <c r="B95" s="55" t="s">
        <v>147</v>
      </c>
      <c r="C95" s="55"/>
      <c r="D95" s="55"/>
      <c r="E95" s="55"/>
      <c r="F95" s="55"/>
      <c r="G95" s="55"/>
      <c r="H95" s="55"/>
      <c r="I95" s="55"/>
      <c r="J95" s="55"/>
      <c r="K95" s="55"/>
      <c r="L95" s="68"/>
      <c r="M95" s="36"/>
      <c r="N95" s="269"/>
      <c r="O95" s="270"/>
      <c r="P95" s="36"/>
      <c r="Q95" s="36"/>
      <c r="R95" s="36"/>
      <c r="S95" s="36"/>
      <c r="T95" s="36"/>
    </row>
    <row r="96" spans="1:20" s="91" customFormat="1" ht="14.25">
      <c r="A96" s="86" t="s">
        <v>148</v>
      </c>
      <c r="B96" s="202" t="s">
        <v>524</v>
      </c>
      <c r="C96" s="271" t="s">
        <v>525</v>
      </c>
      <c r="D96" s="272" t="s">
        <v>189</v>
      </c>
      <c r="E96" s="88">
        <v>1786.93</v>
      </c>
      <c r="F96" s="271"/>
      <c r="G96" s="83"/>
      <c r="H96" s="271"/>
      <c r="I96" s="83"/>
      <c r="J96" s="83"/>
      <c r="K96" s="83"/>
      <c r="L96" s="90"/>
      <c r="M96" s="90"/>
      <c r="N96" s="269"/>
      <c r="O96" s="45"/>
      <c r="P96" s="90"/>
      <c r="Q96" s="90"/>
      <c r="R96" s="90"/>
      <c r="S96" s="90"/>
      <c r="T96" s="90"/>
    </row>
    <row r="97" spans="1:20" s="91" customFormat="1" ht="14.25">
      <c r="A97" s="86" t="s">
        <v>149</v>
      </c>
      <c r="B97" s="202" t="s">
        <v>526</v>
      </c>
      <c r="C97" s="230" t="s">
        <v>527</v>
      </c>
      <c r="D97" s="273" t="s">
        <v>189</v>
      </c>
      <c r="E97" s="93">
        <v>641.43</v>
      </c>
      <c r="F97" s="230"/>
      <c r="G97" s="41"/>
      <c r="H97" s="230"/>
      <c r="I97" s="41"/>
      <c r="J97" s="41"/>
      <c r="K97" s="83"/>
      <c r="L97" s="90"/>
      <c r="M97" s="90"/>
      <c r="N97" s="269"/>
      <c r="O97" s="45"/>
      <c r="P97" s="90"/>
      <c r="Q97" s="90"/>
      <c r="R97" s="90"/>
      <c r="S97" s="90"/>
      <c r="T97" s="90"/>
    </row>
    <row r="98" spans="1:20" s="91" customFormat="1" ht="14.25">
      <c r="A98" s="86" t="s">
        <v>150</v>
      </c>
      <c r="B98" s="202" t="s">
        <v>743</v>
      </c>
      <c r="C98" s="230" t="s">
        <v>744</v>
      </c>
      <c r="D98" s="273" t="s">
        <v>189</v>
      </c>
      <c r="E98" s="93">
        <v>704.4</v>
      </c>
      <c r="F98" s="230"/>
      <c r="G98" s="41"/>
      <c r="H98" s="230"/>
      <c r="I98" s="41"/>
      <c r="J98" s="41"/>
      <c r="K98" s="83"/>
      <c r="L98" s="90"/>
      <c r="M98" s="90"/>
      <c r="N98" s="274"/>
      <c r="O98" s="45"/>
      <c r="P98" s="90"/>
      <c r="Q98" s="90"/>
      <c r="R98" s="90"/>
      <c r="S98" s="90"/>
      <c r="T98" s="90"/>
    </row>
    <row r="99" spans="1:20" s="91" customFormat="1" ht="14.25">
      <c r="A99" s="86" t="s">
        <v>151</v>
      </c>
      <c r="B99" s="202" t="s">
        <v>745</v>
      </c>
      <c r="C99" s="230" t="s">
        <v>746</v>
      </c>
      <c r="D99" s="273" t="s">
        <v>189</v>
      </c>
      <c r="E99" s="93">
        <v>94</v>
      </c>
      <c r="F99" s="230"/>
      <c r="G99" s="41"/>
      <c r="H99" s="230"/>
      <c r="I99" s="41"/>
      <c r="J99" s="41"/>
      <c r="K99" s="83"/>
      <c r="L99" s="90"/>
      <c r="M99" s="90"/>
      <c r="N99" s="274"/>
      <c r="O99" s="275"/>
      <c r="P99" s="90"/>
      <c r="Q99" s="90"/>
      <c r="R99" s="90"/>
      <c r="S99" s="90"/>
      <c r="T99" s="90"/>
    </row>
    <row r="100" spans="1:20" s="91" customFormat="1" ht="14.25">
      <c r="A100" s="86" t="s">
        <v>152</v>
      </c>
      <c r="B100" s="203"/>
      <c r="C100" s="230" t="s">
        <v>530</v>
      </c>
      <c r="D100" s="177" t="s">
        <v>391</v>
      </c>
      <c r="E100" s="41">
        <v>55</v>
      </c>
      <c r="F100" s="41"/>
      <c r="G100" s="41"/>
      <c r="H100" s="41"/>
      <c r="I100" s="41"/>
      <c r="J100" s="41"/>
      <c r="K100" s="83"/>
      <c r="L100" s="90"/>
      <c r="M100" s="90"/>
      <c r="N100" s="276"/>
      <c r="O100" s="45"/>
      <c r="P100" s="90"/>
      <c r="Q100" s="90"/>
      <c r="R100" s="90"/>
      <c r="S100" s="90"/>
      <c r="T100" s="90"/>
    </row>
    <row r="101" spans="1:20" s="91" customFormat="1" ht="14.25">
      <c r="A101" s="86" t="s">
        <v>153</v>
      </c>
      <c r="B101" s="203"/>
      <c r="C101" s="277" t="s">
        <v>531</v>
      </c>
      <c r="D101" s="177" t="s">
        <v>391</v>
      </c>
      <c r="E101" s="205">
        <v>62</v>
      </c>
      <c r="F101" s="41"/>
      <c r="G101" s="41"/>
      <c r="H101" s="206"/>
      <c r="I101" s="41"/>
      <c r="J101" s="41"/>
      <c r="K101" s="83"/>
      <c r="L101" s="90"/>
      <c r="M101" s="90"/>
      <c r="N101" s="274"/>
      <c r="O101" s="45"/>
      <c r="P101" s="90"/>
      <c r="Q101" s="90"/>
      <c r="R101" s="90"/>
      <c r="S101" s="90"/>
      <c r="T101" s="90"/>
    </row>
    <row r="102" spans="1:20" s="91" customFormat="1" ht="14.25">
      <c r="A102" s="86" t="s">
        <v>154</v>
      </c>
      <c r="B102" s="203"/>
      <c r="C102" s="230" t="s">
        <v>532</v>
      </c>
      <c r="D102" s="177" t="s">
        <v>189</v>
      </c>
      <c r="E102" s="41">
        <v>458.5</v>
      </c>
      <c r="F102" s="41"/>
      <c r="G102" s="41"/>
      <c r="H102" s="41"/>
      <c r="I102" s="41"/>
      <c r="J102" s="41"/>
      <c r="K102" s="83"/>
      <c r="L102" s="90"/>
      <c r="M102" s="90"/>
      <c r="N102" s="269"/>
      <c r="O102" s="45"/>
      <c r="P102" s="90"/>
      <c r="Q102" s="90"/>
      <c r="R102" s="90"/>
      <c r="S102" s="90"/>
      <c r="T102" s="90"/>
    </row>
    <row r="103" spans="1:20" s="91" customFormat="1" ht="14.25">
      <c r="A103" s="86" t="s">
        <v>155</v>
      </c>
      <c r="B103" s="202">
        <v>7529</v>
      </c>
      <c r="C103" s="230" t="s">
        <v>534</v>
      </c>
      <c r="D103" s="177" t="s">
        <v>391</v>
      </c>
      <c r="E103" s="41">
        <v>55</v>
      </c>
      <c r="F103" s="41"/>
      <c r="G103" s="41"/>
      <c r="H103" s="41"/>
      <c r="I103" s="41"/>
      <c r="J103" s="41"/>
      <c r="K103" s="83"/>
      <c r="L103" s="90"/>
      <c r="M103" s="90"/>
      <c r="N103" s="274"/>
      <c r="O103" s="45"/>
      <c r="P103" s="90"/>
      <c r="Q103" s="90"/>
      <c r="R103" s="90"/>
      <c r="S103" s="90"/>
      <c r="T103" s="90"/>
    </row>
    <row r="104" spans="1:20" s="91" customFormat="1" ht="14.25">
      <c r="A104" s="86" t="s">
        <v>156</v>
      </c>
      <c r="B104" s="203"/>
      <c r="C104" s="230" t="s">
        <v>535</v>
      </c>
      <c r="D104" s="177" t="s">
        <v>391</v>
      </c>
      <c r="E104" s="41">
        <v>28</v>
      </c>
      <c r="F104" s="41"/>
      <c r="G104" s="41"/>
      <c r="H104" s="41"/>
      <c r="I104" s="41"/>
      <c r="J104" s="41"/>
      <c r="K104" s="83"/>
      <c r="L104" s="90"/>
      <c r="M104" s="90"/>
      <c r="N104" s="274"/>
      <c r="O104" s="45"/>
      <c r="P104" s="90"/>
      <c r="Q104" s="90"/>
      <c r="R104" s="90"/>
      <c r="S104" s="90"/>
      <c r="T104" s="90"/>
    </row>
    <row r="105" spans="1:20" s="197" customFormat="1" ht="14.25">
      <c r="A105" s="86" t="s">
        <v>157</v>
      </c>
      <c r="B105" s="203"/>
      <c r="C105" s="44" t="s">
        <v>536</v>
      </c>
      <c r="D105" s="40" t="s">
        <v>391</v>
      </c>
      <c r="E105" s="41">
        <v>1</v>
      </c>
      <c r="F105" s="41"/>
      <c r="G105" s="41"/>
      <c r="H105" s="41"/>
      <c r="I105" s="41"/>
      <c r="J105" s="41"/>
      <c r="K105" s="41"/>
      <c r="L105" s="90"/>
      <c r="M105" s="90"/>
      <c r="N105" s="278"/>
      <c r="O105" s="45"/>
      <c r="P105" s="90"/>
      <c r="Q105" s="90"/>
      <c r="R105" s="90"/>
      <c r="S105" s="90"/>
      <c r="T105" s="90"/>
    </row>
    <row r="106" spans="1:20" s="91" customFormat="1" ht="14.25">
      <c r="A106" s="86" t="s">
        <v>537</v>
      </c>
      <c r="B106" s="210">
        <v>72331</v>
      </c>
      <c r="C106" s="230" t="s">
        <v>538</v>
      </c>
      <c r="D106" s="177" t="s">
        <v>391</v>
      </c>
      <c r="E106" s="41">
        <v>12</v>
      </c>
      <c r="F106" s="41"/>
      <c r="G106" s="41"/>
      <c r="H106" s="41"/>
      <c r="I106" s="41"/>
      <c r="J106" s="41"/>
      <c r="K106" s="83"/>
      <c r="L106" s="90"/>
      <c r="M106" s="90"/>
      <c r="N106" s="278"/>
      <c r="O106" s="45"/>
      <c r="P106" s="90"/>
      <c r="Q106" s="90"/>
      <c r="R106" s="90"/>
      <c r="S106" s="90"/>
      <c r="T106" s="90"/>
    </row>
    <row r="107" spans="1:20" s="91" customFormat="1" ht="14.25">
      <c r="A107" s="86" t="s">
        <v>539</v>
      </c>
      <c r="B107" s="210">
        <v>72332</v>
      </c>
      <c r="C107" s="230" t="s">
        <v>540</v>
      </c>
      <c r="D107" s="177" t="s">
        <v>391</v>
      </c>
      <c r="E107" s="41">
        <v>19</v>
      </c>
      <c r="F107" s="41"/>
      <c r="G107" s="41"/>
      <c r="H107" s="41"/>
      <c r="I107" s="41"/>
      <c r="J107" s="41"/>
      <c r="K107" s="83"/>
      <c r="L107" s="90"/>
      <c r="M107" s="90"/>
      <c r="N107" s="274"/>
      <c r="O107" s="228"/>
      <c r="P107" s="90"/>
      <c r="Q107" s="90"/>
      <c r="R107" s="90"/>
      <c r="S107" s="90"/>
      <c r="T107" s="90"/>
    </row>
    <row r="108" spans="1:20" s="91" customFormat="1" ht="14.25">
      <c r="A108" s="86" t="s">
        <v>541</v>
      </c>
      <c r="B108" s="203"/>
      <c r="C108" s="230" t="s">
        <v>747</v>
      </c>
      <c r="D108" s="177" t="s">
        <v>391</v>
      </c>
      <c r="E108" s="41">
        <v>10</v>
      </c>
      <c r="F108" s="41"/>
      <c r="G108" s="41"/>
      <c r="H108" s="41"/>
      <c r="I108" s="41"/>
      <c r="J108" s="41"/>
      <c r="K108" s="83"/>
      <c r="L108" s="90"/>
      <c r="M108" s="90"/>
      <c r="N108" s="274"/>
      <c r="O108" s="36"/>
      <c r="P108" s="90"/>
      <c r="Q108" s="90"/>
      <c r="R108" s="90"/>
      <c r="S108" s="90"/>
      <c r="T108" s="90"/>
    </row>
    <row r="109" spans="1:20" s="91" customFormat="1" ht="14.25">
      <c r="A109" s="86" t="s">
        <v>543</v>
      </c>
      <c r="B109" s="203"/>
      <c r="C109" s="230" t="s">
        <v>542</v>
      </c>
      <c r="D109" s="177" t="s">
        <v>391</v>
      </c>
      <c r="E109" s="41">
        <v>22</v>
      </c>
      <c r="F109" s="211"/>
      <c r="G109" s="41"/>
      <c r="H109" s="41"/>
      <c r="I109" s="41"/>
      <c r="J109" s="41"/>
      <c r="K109" s="83"/>
      <c r="L109" s="90"/>
      <c r="M109" s="90"/>
      <c r="N109" s="274"/>
      <c r="O109" s="36"/>
      <c r="P109" s="90"/>
      <c r="Q109" s="90"/>
      <c r="R109" s="90"/>
      <c r="S109" s="90"/>
      <c r="T109" s="90"/>
    </row>
    <row r="110" spans="1:20" s="91" customFormat="1" ht="14.25">
      <c r="A110" s="86" t="s">
        <v>545</v>
      </c>
      <c r="B110" s="203"/>
      <c r="C110" s="230" t="s">
        <v>544</v>
      </c>
      <c r="D110" s="177" t="s">
        <v>391</v>
      </c>
      <c r="E110" s="41">
        <v>79</v>
      </c>
      <c r="F110" s="211"/>
      <c r="G110" s="41"/>
      <c r="H110" s="211"/>
      <c r="I110" s="41"/>
      <c r="J110" s="41"/>
      <c r="K110" s="83"/>
      <c r="L110" s="90"/>
      <c r="M110" s="90"/>
      <c r="N110" s="278"/>
      <c r="O110" s="36"/>
      <c r="P110" s="90"/>
      <c r="Q110" s="90"/>
      <c r="R110" s="90"/>
      <c r="S110" s="90"/>
      <c r="T110" s="90"/>
    </row>
    <row r="111" spans="1:20" s="91" customFormat="1" ht="14.25">
      <c r="A111" s="86" t="s">
        <v>548</v>
      </c>
      <c r="B111" s="203"/>
      <c r="C111" s="230" t="s">
        <v>748</v>
      </c>
      <c r="D111" s="177" t="s">
        <v>391</v>
      </c>
      <c r="E111" s="41">
        <v>10</v>
      </c>
      <c r="F111" s="41"/>
      <c r="G111" s="41"/>
      <c r="H111" s="211"/>
      <c r="I111" s="41"/>
      <c r="J111" s="41"/>
      <c r="K111" s="83"/>
      <c r="L111" s="90"/>
      <c r="M111" s="90"/>
      <c r="N111" s="278"/>
      <c r="O111" s="36"/>
      <c r="P111" s="90"/>
      <c r="Q111" s="90"/>
      <c r="R111" s="90"/>
      <c r="S111" s="90"/>
      <c r="T111" s="90"/>
    </row>
    <row r="112" spans="1:20" s="91" customFormat="1" ht="14.25">
      <c r="A112" s="86" t="s">
        <v>550</v>
      </c>
      <c r="B112" s="214" t="s">
        <v>551</v>
      </c>
      <c r="C112" s="230" t="s">
        <v>749</v>
      </c>
      <c r="D112" s="177" t="s">
        <v>391</v>
      </c>
      <c r="E112" s="41">
        <v>1</v>
      </c>
      <c r="F112" s="41"/>
      <c r="G112" s="41"/>
      <c r="H112" s="211"/>
      <c r="I112" s="41"/>
      <c r="J112" s="41"/>
      <c r="K112" s="83"/>
      <c r="L112" s="90"/>
      <c r="M112" s="90"/>
      <c r="N112" s="274"/>
      <c r="O112" s="36"/>
      <c r="P112" s="90"/>
      <c r="Q112" s="90"/>
      <c r="R112" s="90"/>
      <c r="S112" s="90"/>
      <c r="T112" s="90"/>
    </row>
    <row r="113" spans="1:20" s="91" customFormat="1" ht="14.25">
      <c r="A113" s="86" t="s">
        <v>553</v>
      </c>
      <c r="B113" s="203"/>
      <c r="C113" s="230" t="s">
        <v>547</v>
      </c>
      <c r="D113" s="177" t="s">
        <v>391</v>
      </c>
      <c r="E113" s="41">
        <v>6</v>
      </c>
      <c r="F113" s="41"/>
      <c r="G113" s="41"/>
      <c r="H113" s="211"/>
      <c r="I113" s="41"/>
      <c r="J113" s="41"/>
      <c r="K113" s="83"/>
      <c r="L113" s="90"/>
      <c r="M113" s="90"/>
      <c r="N113" s="274"/>
      <c r="O113" s="228"/>
      <c r="P113" s="90"/>
      <c r="Q113" s="90"/>
      <c r="R113" s="90"/>
      <c r="S113" s="90"/>
      <c r="T113" s="90"/>
    </row>
    <row r="114" spans="1:20" s="91" customFormat="1" ht="14.25">
      <c r="A114" s="86" t="s">
        <v>555</v>
      </c>
      <c r="B114" s="214" t="s">
        <v>551</v>
      </c>
      <c r="C114" s="230" t="s">
        <v>549</v>
      </c>
      <c r="D114" s="177" t="s">
        <v>391</v>
      </c>
      <c r="E114" s="41">
        <v>18</v>
      </c>
      <c r="F114" s="41"/>
      <c r="G114" s="41"/>
      <c r="H114" s="211"/>
      <c r="I114" s="41"/>
      <c r="J114" s="41"/>
      <c r="K114" s="83"/>
      <c r="L114" s="90"/>
      <c r="M114" s="90"/>
      <c r="N114" s="279"/>
      <c r="O114" s="36"/>
      <c r="P114" s="90"/>
      <c r="Q114" s="90"/>
      <c r="R114" s="90"/>
      <c r="S114" s="90"/>
      <c r="T114" s="90"/>
    </row>
    <row r="115" spans="1:20" s="91" customFormat="1" ht="14.25">
      <c r="A115" s="86" t="s">
        <v>557</v>
      </c>
      <c r="B115" s="203"/>
      <c r="C115" s="230" t="s">
        <v>750</v>
      </c>
      <c r="D115" s="177" t="s">
        <v>391</v>
      </c>
      <c r="E115" s="41">
        <v>10</v>
      </c>
      <c r="F115" s="41"/>
      <c r="G115" s="41"/>
      <c r="H115" s="211"/>
      <c r="I115" s="41"/>
      <c r="J115" s="41"/>
      <c r="K115" s="83"/>
      <c r="L115" s="90"/>
      <c r="M115" s="90"/>
      <c r="N115" s="90"/>
      <c r="O115" s="90"/>
      <c r="P115" s="90"/>
      <c r="Q115" s="90"/>
      <c r="R115" s="90"/>
      <c r="S115" s="90"/>
      <c r="T115" s="90"/>
    </row>
    <row r="116" spans="1:20" s="197" customFormat="1" ht="14.25">
      <c r="A116" s="86" t="s">
        <v>751</v>
      </c>
      <c r="B116" s="203"/>
      <c r="C116" s="44" t="s">
        <v>552</v>
      </c>
      <c r="D116" s="40" t="s">
        <v>391</v>
      </c>
      <c r="E116" s="41">
        <v>1</v>
      </c>
      <c r="F116" s="41"/>
      <c r="G116" s="41"/>
      <c r="H116" s="39"/>
      <c r="I116" s="41"/>
      <c r="J116" s="41"/>
      <c r="K116" s="41"/>
      <c r="L116" s="90"/>
      <c r="M116" s="90"/>
      <c r="N116" s="90"/>
      <c r="O116" s="90"/>
      <c r="P116" s="90"/>
      <c r="Q116" s="90"/>
      <c r="R116" s="90"/>
      <c r="S116" s="90"/>
      <c r="T116" s="90"/>
    </row>
    <row r="117" spans="1:20" s="91" customFormat="1" ht="14.25">
      <c r="A117" s="86" t="s">
        <v>752</v>
      </c>
      <c r="B117" s="203"/>
      <c r="C117" s="230" t="s">
        <v>554</v>
      </c>
      <c r="D117" s="177" t="s">
        <v>391</v>
      </c>
      <c r="E117" s="41">
        <v>1</v>
      </c>
      <c r="F117" s="41"/>
      <c r="G117" s="41"/>
      <c r="H117" s="211"/>
      <c r="I117" s="41"/>
      <c r="J117" s="41"/>
      <c r="K117" s="83"/>
      <c r="L117" s="90"/>
      <c r="M117" s="90"/>
      <c r="N117" s="90"/>
      <c r="O117" s="90"/>
      <c r="P117" s="90"/>
      <c r="Q117" s="90"/>
      <c r="R117" s="90"/>
      <c r="S117" s="90"/>
      <c r="T117" s="90"/>
    </row>
    <row r="118" spans="1:20" s="91" customFormat="1" ht="14.25">
      <c r="A118" s="86" t="s">
        <v>753</v>
      </c>
      <c r="B118" s="203"/>
      <c r="C118" s="230" t="s">
        <v>754</v>
      </c>
      <c r="D118" s="177" t="s">
        <v>391</v>
      </c>
      <c r="E118" s="41">
        <v>2</v>
      </c>
      <c r="F118" s="41"/>
      <c r="G118" s="41"/>
      <c r="H118" s="211"/>
      <c r="I118" s="41"/>
      <c r="J118" s="41"/>
      <c r="K118" s="83"/>
      <c r="L118" s="90"/>
      <c r="M118" s="90"/>
      <c r="N118" s="90"/>
      <c r="O118" s="90"/>
      <c r="P118" s="90"/>
      <c r="Q118" s="90"/>
      <c r="R118" s="90"/>
      <c r="S118" s="90"/>
      <c r="T118" s="90"/>
    </row>
    <row r="119" spans="1:20" s="91" customFormat="1" ht="14.25">
      <c r="A119" s="86" t="s">
        <v>755</v>
      </c>
      <c r="B119" s="203"/>
      <c r="C119" s="230" t="s">
        <v>556</v>
      </c>
      <c r="D119" s="177" t="s">
        <v>391</v>
      </c>
      <c r="E119" s="41">
        <v>22</v>
      </c>
      <c r="F119" s="41"/>
      <c r="G119" s="41"/>
      <c r="H119" s="211"/>
      <c r="I119" s="41"/>
      <c r="J119" s="41"/>
      <c r="K119" s="83"/>
      <c r="L119" s="90"/>
      <c r="M119" s="90"/>
      <c r="N119" s="90"/>
      <c r="O119" s="90"/>
      <c r="P119" s="90"/>
      <c r="Q119" s="90"/>
      <c r="R119" s="90"/>
      <c r="S119" s="90"/>
      <c r="T119" s="90"/>
    </row>
    <row r="120" spans="1:20" s="91" customFormat="1" ht="14.25">
      <c r="A120" s="86" t="s">
        <v>756</v>
      </c>
      <c r="B120" s="280" t="s">
        <v>558</v>
      </c>
      <c r="C120" s="230" t="s">
        <v>757</v>
      </c>
      <c r="D120" s="177" t="s">
        <v>391</v>
      </c>
      <c r="E120" s="41">
        <v>3</v>
      </c>
      <c r="F120" s="41"/>
      <c r="G120" s="41"/>
      <c r="H120" s="211"/>
      <c r="I120" s="41"/>
      <c r="J120" s="41"/>
      <c r="K120" s="83"/>
      <c r="L120" s="90"/>
      <c r="M120" s="90"/>
      <c r="N120" s="90"/>
      <c r="O120" s="90"/>
      <c r="P120" s="90"/>
      <c r="Q120" s="90"/>
      <c r="R120" s="90"/>
      <c r="S120" s="90"/>
      <c r="T120" s="90"/>
    </row>
    <row r="121" spans="1:20" ht="14.25">
      <c r="A121" s="67" t="s">
        <v>158</v>
      </c>
      <c r="B121" s="67"/>
      <c r="C121" s="67"/>
      <c r="D121" s="67"/>
      <c r="E121" s="67"/>
      <c r="F121" s="67"/>
      <c r="G121" s="67"/>
      <c r="H121" s="67"/>
      <c r="I121" s="67"/>
      <c r="J121" s="267"/>
      <c r="K121" s="260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s="42" customFormat="1" ht="13.5">
      <c r="A122" s="34" t="s">
        <v>159</v>
      </c>
      <c r="B122" s="95" t="s">
        <v>160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s="42" customFormat="1" ht="13.5">
      <c r="A123" s="37" t="s">
        <v>161</v>
      </c>
      <c r="B123" s="37"/>
      <c r="C123" s="277" t="s">
        <v>560</v>
      </c>
      <c r="D123" s="281" t="s">
        <v>189</v>
      </c>
      <c r="E123" s="218">
        <v>232.89</v>
      </c>
      <c r="F123" s="220"/>
      <c r="G123" s="220"/>
      <c r="H123" s="220"/>
      <c r="I123" s="220"/>
      <c r="J123" s="220"/>
      <c r="K123" s="282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s="42" customFormat="1" ht="13.5">
      <c r="A124" s="37" t="s">
        <v>162</v>
      </c>
      <c r="B124" s="37"/>
      <c r="C124" s="277" t="s">
        <v>561</v>
      </c>
      <c r="D124" s="281" t="s">
        <v>391</v>
      </c>
      <c r="E124" s="218">
        <v>17</v>
      </c>
      <c r="F124" s="206"/>
      <c r="G124" s="220"/>
      <c r="H124" s="206"/>
      <c r="I124" s="220"/>
      <c r="J124" s="220"/>
      <c r="K124" s="282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s="42" customFormat="1" ht="13.5">
      <c r="A125" s="37" t="s">
        <v>163</v>
      </c>
      <c r="B125" s="37"/>
      <c r="C125" s="277" t="s">
        <v>562</v>
      </c>
      <c r="D125" s="281" t="s">
        <v>391</v>
      </c>
      <c r="E125" s="218">
        <v>13</v>
      </c>
      <c r="F125" s="206"/>
      <c r="G125" s="220"/>
      <c r="H125" s="206"/>
      <c r="I125" s="220"/>
      <c r="J125" s="220"/>
      <c r="K125" s="282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s="42" customFormat="1" ht="23.25">
      <c r="A126" s="37" t="s">
        <v>164</v>
      </c>
      <c r="B126" s="37"/>
      <c r="C126" s="277" t="s">
        <v>563</v>
      </c>
      <c r="D126" s="281" t="s">
        <v>391</v>
      </c>
      <c r="E126" s="218">
        <v>1</v>
      </c>
      <c r="F126" s="206"/>
      <c r="G126" s="220"/>
      <c r="H126" s="206"/>
      <c r="I126" s="220"/>
      <c r="J126" s="220"/>
      <c r="K126" s="282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s="42" customFormat="1" ht="13.5">
      <c r="A127" s="37" t="s">
        <v>165</v>
      </c>
      <c r="B127" s="37"/>
      <c r="C127" s="277" t="s">
        <v>564</v>
      </c>
      <c r="D127" s="281" t="s">
        <v>189</v>
      </c>
      <c r="E127" s="218">
        <v>302.89</v>
      </c>
      <c r="F127" s="206"/>
      <c r="G127" s="220"/>
      <c r="H127" s="206"/>
      <c r="I127" s="220"/>
      <c r="J127" s="220"/>
      <c r="K127" s="282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s="42" customFormat="1" ht="13.5">
      <c r="A128" s="37" t="s">
        <v>166</v>
      </c>
      <c r="B128" s="37"/>
      <c r="C128" s="277" t="s">
        <v>565</v>
      </c>
      <c r="D128" s="281" t="s">
        <v>189</v>
      </c>
      <c r="E128" s="218">
        <v>465.78</v>
      </c>
      <c r="F128" s="206"/>
      <c r="G128" s="220"/>
      <c r="H128" s="206"/>
      <c r="I128" s="220"/>
      <c r="J128" s="220"/>
      <c r="K128" s="282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s="42" customFormat="1" ht="13.5">
      <c r="A129" s="37" t="s">
        <v>167</v>
      </c>
      <c r="B129" s="37"/>
      <c r="C129" s="230" t="s">
        <v>530</v>
      </c>
      <c r="D129" s="283" t="s">
        <v>391</v>
      </c>
      <c r="E129" s="178">
        <v>31</v>
      </c>
      <c r="F129" s="220"/>
      <c r="G129" s="220"/>
      <c r="H129" s="220"/>
      <c r="I129" s="220"/>
      <c r="J129" s="220"/>
      <c r="K129" s="282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s="42" customFormat="1" ht="14.25">
      <c r="A130" s="100" t="s">
        <v>171</v>
      </c>
      <c r="B130" s="100"/>
      <c r="C130" s="100"/>
      <c r="D130" s="100"/>
      <c r="E130" s="100"/>
      <c r="F130" s="100"/>
      <c r="G130" s="100"/>
      <c r="H130" s="100"/>
      <c r="I130" s="100"/>
      <c r="J130" s="284"/>
      <c r="K130" s="284"/>
      <c r="L130" s="36"/>
      <c r="M130" s="90"/>
      <c r="N130" s="90"/>
      <c r="O130" s="90"/>
      <c r="P130" s="90"/>
      <c r="Q130" s="36"/>
      <c r="R130" s="36"/>
      <c r="S130" s="36"/>
      <c r="T130" s="36"/>
    </row>
    <row r="131" spans="1:20" s="42" customFormat="1" ht="13.5">
      <c r="A131" s="34" t="s">
        <v>172</v>
      </c>
      <c r="B131" s="55" t="s">
        <v>173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36"/>
      <c r="M131" s="90"/>
      <c r="N131" s="278"/>
      <c r="O131" s="242"/>
      <c r="P131" s="90"/>
      <c r="Q131" s="36"/>
      <c r="R131" s="36"/>
      <c r="S131" s="36"/>
      <c r="T131" s="36"/>
    </row>
    <row r="132" spans="1:20" s="42" customFormat="1" ht="13.5">
      <c r="A132" s="37" t="s">
        <v>174</v>
      </c>
      <c r="B132" s="210" t="s">
        <v>194</v>
      </c>
      <c r="C132" s="230" t="s">
        <v>566</v>
      </c>
      <c r="D132" s="177" t="s">
        <v>189</v>
      </c>
      <c r="E132" s="41">
        <v>101.38</v>
      </c>
      <c r="F132" s="41"/>
      <c r="G132" s="41"/>
      <c r="H132" s="41"/>
      <c r="I132" s="41"/>
      <c r="J132" s="41"/>
      <c r="K132" s="83"/>
      <c r="L132" s="36"/>
      <c r="M132" s="90"/>
      <c r="N132" s="278"/>
      <c r="O132" s="242"/>
      <c r="P132" s="90"/>
      <c r="Q132" s="36"/>
      <c r="R132" s="36"/>
      <c r="S132" s="36"/>
      <c r="T132" s="36"/>
    </row>
    <row r="133" spans="1:20" s="42" customFormat="1" ht="13.5">
      <c r="A133" s="37" t="s">
        <v>175</v>
      </c>
      <c r="B133" s="210" t="s">
        <v>567</v>
      </c>
      <c r="C133" s="230" t="s">
        <v>568</v>
      </c>
      <c r="D133" s="177" t="s">
        <v>189</v>
      </c>
      <c r="E133" s="41">
        <v>7.47</v>
      </c>
      <c r="F133" s="41"/>
      <c r="G133" s="41"/>
      <c r="H133" s="41"/>
      <c r="I133" s="41"/>
      <c r="J133" s="41"/>
      <c r="K133" s="83"/>
      <c r="L133" s="36"/>
      <c r="M133" s="90"/>
      <c r="N133" s="278"/>
      <c r="O133" s="242"/>
      <c r="P133" s="90"/>
      <c r="Q133" s="36"/>
      <c r="R133" s="36"/>
      <c r="S133" s="36"/>
      <c r="T133" s="36"/>
    </row>
    <row r="134" spans="1:20" s="42" customFormat="1" ht="13.5">
      <c r="A134" s="37" t="s">
        <v>176</v>
      </c>
      <c r="B134" s="210" t="s">
        <v>569</v>
      </c>
      <c r="C134" s="230" t="s">
        <v>570</v>
      </c>
      <c r="D134" s="177" t="s">
        <v>189</v>
      </c>
      <c r="E134" s="41">
        <v>53.94</v>
      </c>
      <c r="F134" s="41"/>
      <c r="G134" s="41"/>
      <c r="H134" s="41"/>
      <c r="I134" s="41"/>
      <c r="J134" s="41"/>
      <c r="K134" s="83"/>
      <c r="L134" s="36"/>
      <c r="M134" s="90"/>
      <c r="N134" s="278"/>
      <c r="O134" s="242"/>
      <c r="P134" s="90"/>
      <c r="Q134" s="36"/>
      <c r="R134" s="36"/>
      <c r="S134" s="36"/>
      <c r="T134" s="36"/>
    </row>
    <row r="135" spans="1:20" s="42" customFormat="1" ht="13.5">
      <c r="A135" s="37" t="s">
        <v>177</v>
      </c>
      <c r="B135" s="210" t="s">
        <v>573</v>
      </c>
      <c r="C135" s="230" t="s">
        <v>574</v>
      </c>
      <c r="D135" s="177" t="s">
        <v>189</v>
      </c>
      <c r="E135" s="41">
        <v>60.63</v>
      </c>
      <c r="F135" s="41"/>
      <c r="G135" s="41"/>
      <c r="H135" s="41"/>
      <c r="I135" s="41"/>
      <c r="J135" s="41"/>
      <c r="K135" s="83"/>
      <c r="L135" s="36"/>
      <c r="M135" s="90"/>
      <c r="N135" s="278"/>
      <c r="O135" s="242"/>
      <c r="P135" s="90"/>
      <c r="Q135" s="36"/>
      <c r="R135" s="36"/>
      <c r="S135" s="36"/>
      <c r="T135" s="36"/>
    </row>
    <row r="136" spans="1:20" s="42" customFormat="1" ht="13.5">
      <c r="A136" s="37" t="s">
        <v>178</v>
      </c>
      <c r="B136" s="210" t="s">
        <v>579</v>
      </c>
      <c r="C136" s="230" t="s">
        <v>580</v>
      </c>
      <c r="D136" s="177" t="s">
        <v>189</v>
      </c>
      <c r="E136" s="41">
        <v>40.74</v>
      </c>
      <c r="F136" s="41"/>
      <c r="G136" s="41"/>
      <c r="H136" s="41"/>
      <c r="I136" s="41"/>
      <c r="J136" s="41"/>
      <c r="K136" s="83"/>
      <c r="L136" s="36"/>
      <c r="M136" s="90"/>
      <c r="N136" s="278"/>
      <c r="O136" s="242"/>
      <c r="P136" s="90"/>
      <c r="Q136" s="36"/>
      <c r="R136" s="36"/>
      <c r="S136" s="36"/>
      <c r="T136" s="36"/>
    </row>
    <row r="137" spans="1:20" s="42" customFormat="1" ht="13.5">
      <c r="A137" s="37" t="s">
        <v>179</v>
      </c>
      <c r="B137" s="37"/>
      <c r="C137" s="230" t="s">
        <v>758</v>
      </c>
      <c r="D137" s="177" t="s">
        <v>189</v>
      </c>
      <c r="E137" s="41">
        <v>83.47</v>
      </c>
      <c r="F137" s="41"/>
      <c r="G137" s="41"/>
      <c r="H137" s="41"/>
      <c r="I137" s="41"/>
      <c r="J137" s="41"/>
      <c r="K137" s="83"/>
      <c r="L137" s="36"/>
      <c r="M137" s="90"/>
      <c r="N137" s="278"/>
      <c r="O137" s="242"/>
      <c r="P137" s="90"/>
      <c r="Q137" s="36"/>
      <c r="R137" s="36"/>
      <c r="S137" s="36"/>
      <c r="T137" s="36"/>
    </row>
    <row r="138" spans="1:20" s="42" customFormat="1" ht="13.5">
      <c r="A138" s="37" t="s">
        <v>180</v>
      </c>
      <c r="B138" s="37"/>
      <c r="C138" s="230" t="s">
        <v>759</v>
      </c>
      <c r="D138" s="177" t="s">
        <v>189</v>
      </c>
      <c r="E138" s="41">
        <v>82.94</v>
      </c>
      <c r="F138" s="41"/>
      <c r="G138" s="41"/>
      <c r="H138" s="41"/>
      <c r="I138" s="41"/>
      <c r="J138" s="41"/>
      <c r="K138" s="83"/>
      <c r="L138" s="36"/>
      <c r="M138" s="90"/>
      <c r="N138" s="278"/>
      <c r="O138" s="242"/>
      <c r="P138" s="90"/>
      <c r="Q138" s="36"/>
      <c r="R138" s="36"/>
      <c r="S138" s="36"/>
      <c r="T138" s="36"/>
    </row>
    <row r="139" spans="1:20" s="42" customFormat="1" ht="13.5">
      <c r="A139" s="37" t="s">
        <v>181</v>
      </c>
      <c r="B139" s="37"/>
      <c r="C139" s="230" t="s">
        <v>760</v>
      </c>
      <c r="D139" s="177" t="s">
        <v>189</v>
      </c>
      <c r="E139" s="41">
        <v>92.19</v>
      </c>
      <c r="F139" s="41"/>
      <c r="G139" s="41"/>
      <c r="H139" s="41"/>
      <c r="I139" s="41"/>
      <c r="J139" s="41"/>
      <c r="K139" s="83"/>
      <c r="L139" s="36"/>
      <c r="M139" s="90"/>
      <c r="N139" s="278"/>
      <c r="O139" s="242"/>
      <c r="P139" s="90"/>
      <c r="Q139" s="36"/>
      <c r="R139" s="36"/>
      <c r="S139" s="36"/>
      <c r="T139" s="36"/>
    </row>
    <row r="140" spans="1:20" s="42" customFormat="1" ht="13.5">
      <c r="A140" s="37" t="s">
        <v>182</v>
      </c>
      <c r="B140" s="37"/>
      <c r="C140" s="230" t="s">
        <v>761</v>
      </c>
      <c r="D140" s="177" t="s">
        <v>391</v>
      </c>
      <c r="E140" s="41">
        <v>2</v>
      </c>
      <c r="F140" s="41"/>
      <c r="G140" s="41"/>
      <c r="H140" s="41"/>
      <c r="I140" s="41"/>
      <c r="J140" s="41"/>
      <c r="K140" s="83"/>
      <c r="L140" s="36"/>
      <c r="M140" s="90"/>
      <c r="N140" s="278"/>
      <c r="O140" s="242"/>
      <c r="P140" s="90"/>
      <c r="Q140" s="36"/>
      <c r="R140" s="36"/>
      <c r="S140" s="36"/>
      <c r="T140" s="36"/>
    </row>
    <row r="141" spans="1:20" s="42" customFormat="1" ht="13.5">
      <c r="A141" s="37" t="s">
        <v>183</v>
      </c>
      <c r="B141" s="210">
        <v>72557</v>
      </c>
      <c r="C141" s="230" t="s">
        <v>581</v>
      </c>
      <c r="D141" s="177" t="s">
        <v>391</v>
      </c>
      <c r="E141" s="41">
        <v>15</v>
      </c>
      <c r="F141" s="41"/>
      <c r="G141" s="41"/>
      <c r="H141" s="41"/>
      <c r="I141" s="41"/>
      <c r="J141" s="41"/>
      <c r="K141" s="83"/>
      <c r="L141" s="36"/>
      <c r="M141" s="90"/>
      <c r="N141" s="278"/>
      <c r="O141" s="242"/>
      <c r="P141" s="90"/>
      <c r="Q141" s="36"/>
      <c r="R141" s="36"/>
      <c r="S141" s="36"/>
      <c r="T141" s="36"/>
    </row>
    <row r="142" spans="1:20" s="42" customFormat="1" ht="13.5">
      <c r="A142" s="37" t="s">
        <v>184</v>
      </c>
      <c r="B142" s="210">
        <v>72564</v>
      </c>
      <c r="C142" s="230" t="s">
        <v>582</v>
      </c>
      <c r="D142" s="177" t="s">
        <v>391</v>
      </c>
      <c r="E142" s="41">
        <v>7</v>
      </c>
      <c r="F142" s="41"/>
      <c r="G142" s="41"/>
      <c r="H142" s="41"/>
      <c r="I142" s="41"/>
      <c r="J142" s="41"/>
      <c r="K142" s="83"/>
      <c r="L142" s="36"/>
      <c r="M142" s="90"/>
      <c r="N142" s="278"/>
      <c r="O142" s="242"/>
      <c r="P142" s="90"/>
      <c r="Q142" s="36"/>
      <c r="R142" s="36"/>
      <c r="S142" s="36"/>
      <c r="T142" s="36"/>
    </row>
    <row r="143" spans="1:20" s="42" customFormat="1" ht="13.5">
      <c r="A143" s="37" t="s">
        <v>226</v>
      </c>
      <c r="B143" s="210">
        <v>72562</v>
      </c>
      <c r="C143" s="230" t="s">
        <v>583</v>
      </c>
      <c r="D143" s="177" t="s">
        <v>391</v>
      </c>
      <c r="E143" s="41">
        <v>7</v>
      </c>
      <c r="F143" s="41"/>
      <c r="G143" s="41"/>
      <c r="H143" s="41"/>
      <c r="I143" s="41"/>
      <c r="J143" s="41"/>
      <c r="K143" s="83"/>
      <c r="L143" s="36"/>
      <c r="M143" s="90"/>
      <c r="N143" s="278"/>
      <c r="O143" s="242"/>
      <c r="P143" s="90"/>
      <c r="Q143" s="36"/>
      <c r="R143" s="36"/>
      <c r="S143" s="36"/>
      <c r="T143" s="36"/>
    </row>
    <row r="144" spans="1:20" s="42" customFormat="1" ht="13.5">
      <c r="A144" s="37" t="s">
        <v>236</v>
      </c>
      <c r="B144" s="202">
        <v>72560</v>
      </c>
      <c r="C144" s="230" t="s">
        <v>585</v>
      </c>
      <c r="D144" s="177" t="s">
        <v>391</v>
      </c>
      <c r="E144" s="41">
        <v>17</v>
      </c>
      <c r="F144" s="41"/>
      <c r="G144" s="41"/>
      <c r="H144" s="41"/>
      <c r="I144" s="41"/>
      <c r="J144" s="41"/>
      <c r="K144" s="83"/>
      <c r="L144" s="36"/>
      <c r="M144" s="90"/>
      <c r="N144" s="278"/>
      <c r="O144" s="242"/>
      <c r="P144" s="90"/>
      <c r="Q144" s="36"/>
      <c r="R144" s="36"/>
      <c r="S144" s="36"/>
      <c r="T144" s="36"/>
    </row>
    <row r="145" spans="1:20" s="42" customFormat="1" ht="13.5">
      <c r="A145" s="37" t="s">
        <v>586</v>
      </c>
      <c r="B145" s="202">
        <v>72573</v>
      </c>
      <c r="C145" s="230" t="s">
        <v>587</v>
      </c>
      <c r="D145" s="177" t="s">
        <v>391</v>
      </c>
      <c r="E145" s="41">
        <v>42</v>
      </c>
      <c r="F145" s="41"/>
      <c r="G145" s="41"/>
      <c r="H145" s="41"/>
      <c r="I145" s="41"/>
      <c r="J145" s="41"/>
      <c r="K145" s="83"/>
      <c r="L145" s="36"/>
      <c r="M145" s="90"/>
      <c r="N145" s="278"/>
      <c r="O145" s="242"/>
      <c r="P145" s="90"/>
      <c r="Q145" s="36"/>
      <c r="R145" s="36"/>
      <c r="S145" s="36"/>
      <c r="T145" s="36"/>
    </row>
    <row r="146" spans="1:20" s="42" customFormat="1" ht="13.5">
      <c r="A146" s="37" t="s">
        <v>588</v>
      </c>
      <c r="B146" s="202">
        <v>72580</v>
      </c>
      <c r="C146" s="230" t="s">
        <v>589</v>
      </c>
      <c r="D146" s="177" t="s">
        <v>391</v>
      </c>
      <c r="E146" s="41">
        <v>17</v>
      </c>
      <c r="F146" s="41"/>
      <c r="G146" s="41"/>
      <c r="H146" s="41"/>
      <c r="I146" s="41"/>
      <c r="J146" s="41"/>
      <c r="K146" s="83"/>
      <c r="L146" s="36"/>
      <c r="M146" s="90"/>
      <c r="N146" s="285"/>
      <c r="O146" s="242"/>
      <c r="P146" s="90"/>
      <c r="Q146" s="36"/>
      <c r="R146" s="36"/>
      <c r="S146" s="36"/>
      <c r="T146" s="36"/>
    </row>
    <row r="147" spans="1:20" s="42" customFormat="1" ht="13.5">
      <c r="A147" s="37" t="s">
        <v>590</v>
      </c>
      <c r="B147" s="37"/>
      <c r="C147" s="230" t="s">
        <v>762</v>
      </c>
      <c r="D147" s="177" t="s">
        <v>391</v>
      </c>
      <c r="E147" s="41">
        <v>7</v>
      </c>
      <c r="F147" s="41"/>
      <c r="G147" s="41"/>
      <c r="H147" s="41"/>
      <c r="I147" s="41"/>
      <c r="J147" s="41"/>
      <c r="K147" s="83"/>
      <c r="L147" s="36"/>
      <c r="M147" s="90"/>
      <c r="N147" s="285"/>
      <c r="O147" s="242"/>
      <c r="P147" s="90"/>
      <c r="Q147" s="36"/>
      <c r="R147" s="36"/>
      <c r="S147" s="36"/>
      <c r="T147" s="36"/>
    </row>
    <row r="148" spans="1:20" s="42" customFormat="1" ht="13.5">
      <c r="A148" s="37" t="s">
        <v>592</v>
      </c>
      <c r="B148" s="37"/>
      <c r="C148" s="230" t="s">
        <v>763</v>
      </c>
      <c r="D148" s="177" t="s">
        <v>391</v>
      </c>
      <c r="E148" s="41">
        <v>24</v>
      </c>
      <c r="F148" s="41"/>
      <c r="G148" s="41"/>
      <c r="H148" s="41"/>
      <c r="I148" s="41"/>
      <c r="J148" s="41"/>
      <c r="K148" s="83"/>
      <c r="L148" s="36"/>
      <c r="M148" s="90"/>
      <c r="N148" s="285"/>
      <c r="O148" s="242"/>
      <c r="P148" s="90"/>
      <c r="Q148" s="36"/>
      <c r="R148" s="36"/>
      <c r="S148" s="36"/>
      <c r="T148" s="36"/>
    </row>
    <row r="149" spans="1:20" s="42" customFormat="1" ht="13.5">
      <c r="A149" s="37" t="s">
        <v>594</v>
      </c>
      <c r="B149" s="37"/>
      <c r="C149" s="230" t="s">
        <v>764</v>
      </c>
      <c r="D149" s="177" t="s">
        <v>391</v>
      </c>
      <c r="E149" s="41">
        <v>10</v>
      </c>
      <c r="F149" s="41"/>
      <c r="G149" s="41"/>
      <c r="H149" s="41"/>
      <c r="I149" s="41"/>
      <c r="J149" s="41"/>
      <c r="K149" s="83"/>
      <c r="L149" s="36"/>
      <c r="M149" s="90"/>
      <c r="N149" s="285"/>
      <c r="O149" s="242"/>
      <c r="P149" s="90"/>
      <c r="Q149" s="36"/>
      <c r="R149" s="36"/>
      <c r="S149" s="36"/>
      <c r="T149" s="36"/>
    </row>
    <row r="150" spans="1:20" s="42" customFormat="1" ht="13.5">
      <c r="A150" s="37" t="s">
        <v>596</v>
      </c>
      <c r="B150" s="37"/>
      <c r="C150" s="230" t="s">
        <v>765</v>
      </c>
      <c r="D150" s="177" t="s">
        <v>391</v>
      </c>
      <c r="E150" s="41">
        <v>4</v>
      </c>
      <c r="F150" s="41"/>
      <c r="G150" s="41"/>
      <c r="H150" s="41"/>
      <c r="I150" s="41"/>
      <c r="J150" s="41"/>
      <c r="K150" s="83"/>
      <c r="L150" s="36"/>
      <c r="M150" s="90"/>
      <c r="N150" s="285"/>
      <c r="O150" s="242"/>
      <c r="P150" s="90"/>
      <c r="Q150" s="36"/>
      <c r="R150" s="36"/>
      <c r="S150" s="36"/>
      <c r="T150" s="36"/>
    </row>
    <row r="151" spans="1:20" s="42" customFormat="1" ht="13.5">
      <c r="A151" s="37" t="s">
        <v>598</v>
      </c>
      <c r="B151" s="37"/>
      <c r="C151" s="230" t="s">
        <v>591</v>
      </c>
      <c r="D151" s="177" t="s">
        <v>391</v>
      </c>
      <c r="E151" s="41">
        <v>12</v>
      </c>
      <c r="F151" s="41"/>
      <c r="G151" s="41"/>
      <c r="H151" s="41"/>
      <c r="I151" s="41"/>
      <c r="J151" s="41"/>
      <c r="K151" s="83"/>
      <c r="L151" s="36"/>
      <c r="M151" s="90"/>
      <c r="N151" s="285"/>
      <c r="O151" s="242"/>
      <c r="P151" s="90"/>
      <c r="Q151" s="36"/>
      <c r="R151" s="36"/>
      <c r="S151" s="36"/>
      <c r="T151" s="36"/>
    </row>
    <row r="152" spans="1:20" s="42" customFormat="1" ht="13.5">
      <c r="A152" s="37" t="s">
        <v>600</v>
      </c>
      <c r="B152" s="37"/>
      <c r="C152" s="230" t="s">
        <v>593</v>
      </c>
      <c r="D152" s="177" t="s">
        <v>391</v>
      </c>
      <c r="E152" s="41">
        <v>7</v>
      </c>
      <c r="F152" s="41"/>
      <c r="G152" s="41"/>
      <c r="H152" s="41"/>
      <c r="I152" s="41"/>
      <c r="J152" s="41"/>
      <c r="K152" s="83"/>
      <c r="L152" s="36"/>
      <c r="M152" s="90"/>
      <c r="N152" s="285"/>
      <c r="O152" s="242"/>
      <c r="P152" s="90"/>
      <c r="Q152" s="36"/>
      <c r="R152" s="36"/>
      <c r="S152" s="36"/>
      <c r="T152" s="36"/>
    </row>
    <row r="153" spans="1:20" s="42" customFormat="1" ht="13.5">
      <c r="A153" s="37" t="s">
        <v>602</v>
      </c>
      <c r="B153" s="37"/>
      <c r="C153" s="230" t="s">
        <v>766</v>
      </c>
      <c r="D153" s="177" t="s">
        <v>391</v>
      </c>
      <c r="E153" s="41">
        <v>11</v>
      </c>
      <c r="F153" s="41"/>
      <c r="G153" s="41"/>
      <c r="H153" s="41"/>
      <c r="I153" s="41"/>
      <c r="J153" s="41"/>
      <c r="K153" s="83"/>
      <c r="L153" s="36"/>
      <c r="M153" s="90"/>
      <c r="N153" s="285"/>
      <c r="O153" s="242"/>
      <c r="P153" s="90"/>
      <c r="Q153" s="36"/>
      <c r="R153" s="36"/>
      <c r="S153" s="36"/>
      <c r="T153" s="36"/>
    </row>
    <row r="154" spans="1:20" s="42" customFormat="1" ht="13.5">
      <c r="A154" s="37" t="s">
        <v>604</v>
      </c>
      <c r="B154" s="37"/>
      <c r="C154" s="230" t="s">
        <v>595</v>
      </c>
      <c r="D154" s="177" t="s">
        <v>391</v>
      </c>
      <c r="E154" s="41">
        <v>12</v>
      </c>
      <c r="F154" s="41"/>
      <c r="G154" s="41"/>
      <c r="H154" s="41"/>
      <c r="I154" s="41"/>
      <c r="J154" s="41"/>
      <c r="K154" s="83"/>
      <c r="L154" s="36"/>
      <c r="M154" s="90"/>
      <c r="N154" s="285"/>
      <c r="O154" s="286"/>
      <c r="P154" s="90"/>
      <c r="Q154" s="36"/>
      <c r="R154" s="36"/>
      <c r="S154" s="36"/>
      <c r="T154" s="36"/>
    </row>
    <row r="155" spans="1:20" s="42" customFormat="1" ht="13.5">
      <c r="A155" s="37" t="s">
        <v>606</v>
      </c>
      <c r="B155" s="37"/>
      <c r="C155" s="230" t="s">
        <v>767</v>
      </c>
      <c r="D155" s="177" t="s">
        <v>391</v>
      </c>
      <c r="E155" s="41">
        <v>6</v>
      </c>
      <c r="F155" s="41"/>
      <c r="G155" s="41"/>
      <c r="H155" s="41"/>
      <c r="I155" s="41"/>
      <c r="J155" s="41"/>
      <c r="K155" s="83"/>
      <c r="L155" s="36"/>
      <c r="M155" s="90"/>
      <c r="N155" s="285"/>
      <c r="O155" s="286"/>
      <c r="P155" s="90"/>
      <c r="Q155" s="36"/>
      <c r="R155" s="36"/>
      <c r="S155" s="36"/>
      <c r="T155" s="36"/>
    </row>
    <row r="156" spans="1:20" s="42" customFormat="1" ht="13.5">
      <c r="A156" s="37" t="s">
        <v>608</v>
      </c>
      <c r="B156" s="37"/>
      <c r="C156" s="230" t="s">
        <v>768</v>
      </c>
      <c r="D156" s="177" t="s">
        <v>391</v>
      </c>
      <c r="E156" s="41">
        <v>2</v>
      </c>
      <c r="F156" s="41"/>
      <c r="G156" s="41"/>
      <c r="H156" s="41"/>
      <c r="I156" s="41"/>
      <c r="J156" s="41"/>
      <c r="K156" s="83"/>
      <c r="L156" s="36"/>
      <c r="M156" s="90"/>
      <c r="N156" s="287"/>
      <c r="O156" s="286"/>
      <c r="P156" s="90"/>
      <c r="Q156" s="36"/>
      <c r="R156" s="36"/>
      <c r="S156" s="36"/>
      <c r="T156" s="36"/>
    </row>
    <row r="157" spans="1:20" s="42" customFormat="1" ht="13.5">
      <c r="A157" s="37" t="s">
        <v>610</v>
      </c>
      <c r="B157" s="37"/>
      <c r="C157" s="230" t="s">
        <v>769</v>
      </c>
      <c r="D157" s="177" t="s">
        <v>391</v>
      </c>
      <c r="E157" s="41">
        <v>11</v>
      </c>
      <c r="F157" s="41"/>
      <c r="G157" s="41"/>
      <c r="H157" s="41"/>
      <c r="I157" s="41"/>
      <c r="J157" s="41"/>
      <c r="K157" s="83"/>
      <c r="L157" s="36"/>
      <c r="M157" s="90"/>
      <c r="N157" s="285"/>
      <c r="O157" s="242"/>
      <c r="P157" s="90"/>
      <c r="Q157" s="36"/>
      <c r="R157" s="36"/>
      <c r="S157" s="36"/>
      <c r="T157" s="36"/>
    </row>
    <row r="158" spans="1:20" s="42" customFormat="1" ht="13.5">
      <c r="A158" s="37" t="s">
        <v>613</v>
      </c>
      <c r="B158" s="37"/>
      <c r="C158" s="230" t="s">
        <v>597</v>
      </c>
      <c r="D158" s="177" t="s">
        <v>391</v>
      </c>
      <c r="E158" s="41">
        <v>14</v>
      </c>
      <c r="F158" s="41"/>
      <c r="G158" s="41"/>
      <c r="H158" s="41"/>
      <c r="I158" s="41"/>
      <c r="J158" s="41"/>
      <c r="K158" s="83"/>
      <c r="L158" s="36"/>
      <c r="M158" s="90"/>
      <c r="N158" s="285"/>
      <c r="O158" s="242"/>
      <c r="P158" s="90"/>
      <c r="Q158" s="36"/>
      <c r="R158" s="36"/>
      <c r="S158" s="36"/>
      <c r="T158" s="36"/>
    </row>
    <row r="159" spans="1:20" s="42" customFormat="1" ht="13.5">
      <c r="A159" s="37" t="s">
        <v>615</v>
      </c>
      <c r="B159" s="37"/>
      <c r="C159" s="230" t="s">
        <v>599</v>
      </c>
      <c r="D159" s="177" t="s">
        <v>391</v>
      </c>
      <c r="E159" s="41">
        <v>7</v>
      </c>
      <c r="F159" s="41"/>
      <c r="G159" s="41"/>
      <c r="H159" s="41"/>
      <c r="I159" s="41"/>
      <c r="J159" s="41"/>
      <c r="K159" s="83"/>
      <c r="L159" s="36"/>
      <c r="M159" s="90"/>
      <c r="N159" s="285"/>
      <c r="O159" s="242"/>
      <c r="P159" s="90"/>
      <c r="Q159" s="36"/>
      <c r="R159" s="36"/>
      <c r="S159" s="36"/>
      <c r="T159" s="36"/>
    </row>
    <row r="160" spans="1:20" s="42" customFormat="1" ht="13.5">
      <c r="A160" s="37" t="s">
        <v>617</v>
      </c>
      <c r="B160" s="37"/>
      <c r="C160" s="230" t="s">
        <v>770</v>
      </c>
      <c r="D160" s="177" t="s">
        <v>391</v>
      </c>
      <c r="E160" s="41">
        <v>7</v>
      </c>
      <c r="F160" s="41"/>
      <c r="G160" s="41"/>
      <c r="H160" s="41"/>
      <c r="I160" s="41"/>
      <c r="J160" s="41"/>
      <c r="K160" s="83"/>
      <c r="L160" s="36"/>
      <c r="M160" s="90"/>
      <c r="N160" s="285"/>
      <c r="O160" s="242"/>
      <c r="P160" s="90"/>
      <c r="Q160" s="36"/>
      <c r="R160" s="36"/>
      <c r="S160" s="36"/>
      <c r="T160" s="36"/>
    </row>
    <row r="161" spans="1:20" s="42" customFormat="1" ht="13.5">
      <c r="A161" s="37" t="s">
        <v>619</v>
      </c>
      <c r="B161" s="37"/>
      <c r="C161" s="230" t="s">
        <v>603</v>
      </c>
      <c r="D161" s="177" t="s">
        <v>391</v>
      </c>
      <c r="E161" s="41">
        <v>7</v>
      </c>
      <c r="F161" s="41"/>
      <c r="G161" s="41"/>
      <c r="H161" s="41"/>
      <c r="I161" s="41"/>
      <c r="J161" s="41"/>
      <c r="K161" s="83"/>
      <c r="L161" s="36"/>
      <c r="M161" s="90"/>
      <c r="N161" s="285"/>
      <c r="O161" s="242"/>
      <c r="P161" s="90"/>
      <c r="Q161" s="36"/>
      <c r="R161" s="36"/>
      <c r="S161" s="36"/>
      <c r="T161" s="36"/>
    </row>
    <row r="162" spans="1:20" s="42" customFormat="1" ht="13.5">
      <c r="A162" s="37" t="s">
        <v>621</v>
      </c>
      <c r="B162" s="37"/>
      <c r="C162" s="230" t="s">
        <v>605</v>
      </c>
      <c r="D162" s="177" t="s">
        <v>391</v>
      </c>
      <c r="E162" s="41">
        <v>19</v>
      </c>
      <c r="F162" s="41"/>
      <c r="G162" s="41"/>
      <c r="H162" s="41"/>
      <c r="I162" s="41"/>
      <c r="J162" s="41"/>
      <c r="K162" s="83"/>
      <c r="L162" s="36"/>
      <c r="M162" s="90"/>
      <c r="N162" s="285"/>
      <c r="O162" s="242"/>
      <c r="P162" s="90"/>
      <c r="Q162" s="36"/>
      <c r="R162" s="36"/>
      <c r="S162" s="36"/>
      <c r="T162" s="36"/>
    </row>
    <row r="163" spans="1:20" s="42" customFormat="1" ht="13.5">
      <c r="A163" s="37" t="s">
        <v>623</v>
      </c>
      <c r="B163" s="37"/>
      <c r="C163" s="230" t="s">
        <v>771</v>
      </c>
      <c r="D163" s="177" t="s">
        <v>391</v>
      </c>
      <c r="E163" s="41">
        <v>10</v>
      </c>
      <c r="F163" s="41"/>
      <c r="G163" s="41"/>
      <c r="H163" s="41"/>
      <c r="I163" s="41"/>
      <c r="J163" s="41"/>
      <c r="K163" s="83"/>
      <c r="L163" s="36"/>
      <c r="M163" s="90"/>
      <c r="N163" s="285"/>
      <c r="O163" s="242"/>
      <c r="P163" s="90"/>
      <c r="Q163" s="36"/>
      <c r="R163" s="36"/>
      <c r="S163" s="36"/>
      <c r="T163" s="36"/>
    </row>
    <row r="164" spans="1:20" s="42" customFormat="1" ht="13.5">
      <c r="A164" s="37" t="s">
        <v>625</v>
      </c>
      <c r="B164" s="37"/>
      <c r="C164" s="230" t="s">
        <v>772</v>
      </c>
      <c r="D164" s="177" t="s">
        <v>391</v>
      </c>
      <c r="E164" s="41">
        <v>2</v>
      </c>
      <c r="F164" s="41"/>
      <c r="G164" s="41"/>
      <c r="H164" s="41"/>
      <c r="I164" s="41"/>
      <c r="J164" s="41"/>
      <c r="K164" s="83"/>
      <c r="L164" s="36"/>
      <c r="M164" s="90"/>
      <c r="N164" s="285"/>
      <c r="O164" s="242"/>
      <c r="P164" s="90"/>
      <c r="Q164" s="36"/>
      <c r="R164" s="36"/>
      <c r="S164" s="36"/>
      <c r="T164" s="36"/>
    </row>
    <row r="165" spans="1:20" s="42" customFormat="1" ht="13.5">
      <c r="A165" s="37" t="s">
        <v>627</v>
      </c>
      <c r="B165" s="37"/>
      <c r="C165" s="230" t="s">
        <v>607</v>
      </c>
      <c r="D165" s="177" t="s">
        <v>391</v>
      </c>
      <c r="E165" s="41">
        <v>12</v>
      </c>
      <c r="F165" s="41"/>
      <c r="G165" s="41"/>
      <c r="H165" s="41"/>
      <c r="I165" s="41"/>
      <c r="J165" s="41"/>
      <c r="K165" s="83"/>
      <c r="L165" s="36"/>
      <c r="M165" s="90"/>
      <c r="N165" s="285"/>
      <c r="O165" s="242"/>
      <c r="P165" s="90"/>
      <c r="Q165" s="36"/>
      <c r="R165" s="36"/>
      <c r="S165" s="36"/>
      <c r="T165" s="36"/>
    </row>
    <row r="166" spans="1:20" s="42" customFormat="1" ht="13.5">
      <c r="A166" s="37" t="s">
        <v>629</v>
      </c>
      <c r="B166" s="37"/>
      <c r="C166" s="230" t="s">
        <v>773</v>
      </c>
      <c r="D166" s="177" t="s">
        <v>391</v>
      </c>
      <c r="E166" s="41">
        <v>1</v>
      </c>
      <c r="F166" s="41"/>
      <c r="G166" s="41"/>
      <c r="H166" s="41"/>
      <c r="I166" s="41"/>
      <c r="J166" s="41"/>
      <c r="K166" s="83"/>
      <c r="L166" s="36"/>
      <c r="M166" s="90"/>
      <c r="N166" s="285"/>
      <c r="O166" s="242"/>
      <c r="P166" s="90"/>
      <c r="Q166" s="36"/>
      <c r="R166" s="36"/>
      <c r="S166" s="36"/>
      <c r="T166" s="36"/>
    </row>
    <row r="167" spans="1:20" s="42" customFormat="1" ht="13.5">
      <c r="A167" s="37" t="s">
        <v>631</v>
      </c>
      <c r="B167" s="37"/>
      <c r="C167" s="230" t="s">
        <v>609</v>
      </c>
      <c r="D167" s="177" t="s">
        <v>391</v>
      </c>
      <c r="E167" s="41">
        <v>12</v>
      </c>
      <c r="F167" s="41"/>
      <c r="G167" s="41"/>
      <c r="H167" s="41"/>
      <c r="I167" s="41"/>
      <c r="J167" s="41"/>
      <c r="K167" s="83"/>
      <c r="L167" s="36"/>
      <c r="M167" s="90"/>
      <c r="N167" s="288"/>
      <c r="O167" s="242"/>
      <c r="P167" s="90"/>
      <c r="Q167" s="36"/>
      <c r="R167" s="36"/>
      <c r="S167" s="36"/>
      <c r="T167" s="36"/>
    </row>
    <row r="168" spans="1:20" s="42" customFormat="1" ht="13.5">
      <c r="A168" s="37" t="s">
        <v>633</v>
      </c>
      <c r="B168" s="37"/>
      <c r="C168" s="230" t="s">
        <v>614</v>
      </c>
      <c r="D168" s="177" t="s">
        <v>391</v>
      </c>
      <c r="E168" s="41">
        <v>9</v>
      </c>
      <c r="F168" s="41"/>
      <c r="G168" s="41"/>
      <c r="H168" s="41"/>
      <c r="I168" s="41"/>
      <c r="J168" s="41"/>
      <c r="K168" s="83"/>
      <c r="L168" s="36"/>
      <c r="M168" s="90"/>
      <c r="N168" s="285"/>
      <c r="O168" s="242"/>
      <c r="P168" s="90"/>
      <c r="Q168" s="36"/>
      <c r="R168" s="36"/>
      <c r="S168" s="36"/>
      <c r="T168" s="36"/>
    </row>
    <row r="169" spans="1:20" s="42" customFormat="1" ht="13.5">
      <c r="A169" s="37" t="s">
        <v>636</v>
      </c>
      <c r="B169" s="37"/>
      <c r="C169" s="230" t="s">
        <v>616</v>
      </c>
      <c r="D169" s="177" t="s">
        <v>391</v>
      </c>
      <c r="E169" s="41">
        <v>3</v>
      </c>
      <c r="F169" s="41"/>
      <c r="G169" s="41"/>
      <c r="H169" s="41"/>
      <c r="I169" s="41"/>
      <c r="J169" s="41"/>
      <c r="K169" s="83"/>
      <c r="L169" s="36"/>
      <c r="M169" s="90"/>
      <c r="N169" s="285"/>
      <c r="O169" s="242"/>
      <c r="P169" s="90"/>
      <c r="Q169" s="36"/>
      <c r="R169" s="36"/>
      <c r="S169" s="36"/>
      <c r="T169" s="36"/>
    </row>
    <row r="170" spans="1:20" s="42" customFormat="1" ht="13.5">
      <c r="A170" s="37" t="s">
        <v>638</v>
      </c>
      <c r="B170" s="37"/>
      <c r="C170" s="230" t="s">
        <v>620</v>
      </c>
      <c r="D170" s="177" t="s">
        <v>391</v>
      </c>
      <c r="E170" s="41">
        <v>9</v>
      </c>
      <c r="F170" s="41"/>
      <c r="G170" s="41"/>
      <c r="H170" s="41"/>
      <c r="I170" s="41"/>
      <c r="J170" s="41"/>
      <c r="K170" s="83"/>
      <c r="L170" s="36"/>
      <c r="M170" s="90"/>
      <c r="N170" s="285"/>
      <c r="O170" s="242"/>
      <c r="P170" s="90"/>
      <c r="Q170" s="36"/>
      <c r="R170" s="36"/>
      <c r="S170" s="36"/>
      <c r="T170" s="36"/>
    </row>
    <row r="171" spans="1:20" s="42" customFormat="1" ht="13.5">
      <c r="A171" s="37" t="s">
        <v>640</v>
      </c>
      <c r="B171" s="37"/>
      <c r="C171" s="230" t="s">
        <v>622</v>
      </c>
      <c r="D171" s="177" t="s">
        <v>391</v>
      </c>
      <c r="E171" s="41">
        <v>3</v>
      </c>
      <c r="F171" s="41"/>
      <c r="G171" s="41"/>
      <c r="H171" s="41"/>
      <c r="I171" s="41"/>
      <c r="J171" s="41"/>
      <c r="K171" s="83"/>
      <c r="L171" s="36"/>
      <c r="M171" s="90"/>
      <c r="N171" s="285"/>
      <c r="O171" s="242"/>
      <c r="P171" s="90"/>
      <c r="Q171" s="36"/>
      <c r="R171" s="36"/>
      <c r="S171" s="36"/>
      <c r="T171" s="36"/>
    </row>
    <row r="172" spans="1:20" s="42" customFormat="1" ht="13.5">
      <c r="A172" s="37" t="s">
        <v>642</v>
      </c>
      <c r="B172" s="195" t="s">
        <v>634</v>
      </c>
      <c r="C172" s="271" t="s">
        <v>635</v>
      </c>
      <c r="D172" s="184" t="s">
        <v>391</v>
      </c>
      <c r="E172" s="83">
        <v>1</v>
      </c>
      <c r="F172" s="83"/>
      <c r="G172" s="41"/>
      <c r="H172" s="41"/>
      <c r="I172" s="41"/>
      <c r="J172" s="41"/>
      <c r="K172" s="83"/>
      <c r="L172" s="36"/>
      <c r="M172" s="90"/>
      <c r="N172" s="288"/>
      <c r="O172" s="242"/>
      <c r="P172" s="90"/>
      <c r="Q172" s="36"/>
      <c r="R172" s="36"/>
      <c r="S172" s="36"/>
      <c r="T172" s="36"/>
    </row>
    <row r="173" spans="1:20" s="42" customFormat="1" ht="13.5">
      <c r="A173" s="37" t="s">
        <v>644</v>
      </c>
      <c r="B173" s="37"/>
      <c r="C173" s="230" t="s">
        <v>774</v>
      </c>
      <c r="D173" s="177" t="s">
        <v>391</v>
      </c>
      <c r="E173" s="41">
        <v>1</v>
      </c>
      <c r="F173" s="41"/>
      <c r="G173" s="41"/>
      <c r="H173" s="41"/>
      <c r="I173" s="41"/>
      <c r="J173" s="41"/>
      <c r="K173" s="83"/>
      <c r="L173" s="36"/>
      <c r="M173" s="90"/>
      <c r="N173" s="90"/>
      <c r="O173" s="90"/>
      <c r="P173" s="90"/>
      <c r="Q173" s="36"/>
      <c r="R173" s="36"/>
      <c r="S173" s="36"/>
      <c r="T173" s="36"/>
    </row>
    <row r="174" spans="1:20" s="42" customFormat="1" ht="13.5">
      <c r="A174" s="37" t="s">
        <v>775</v>
      </c>
      <c r="B174" s="37"/>
      <c r="C174" s="230" t="s">
        <v>626</v>
      </c>
      <c r="D174" s="177" t="s">
        <v>391</v>
      </c>
      <c r="E174" s="41">
        <v>1</v>
      </c>
      <c r="F174" s="41"/>
      <c r="G174" s="41"/>
      <c r="H174" s="41"/>
      <c r="I174" s="41"/>
      <c r="J174" s="41"/>
      <c r="K174" s="83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s="42" customFormat="1" ht="23.25">
      <c r="A175" s="37" t="s">
        <v>776</v>
      </c>
      <c r="B175" s="37"/>
      <c r="C175" s="230" t="s">
        <v>777</v>
      </c>
      <c r="D175" s="177" t="s">
        <v>391</v>
      </c>
      <c r="E175" s="41">
        <v>4</v>
      </c>
      <c r="F175" s="41"/>
      <c r="G175" s="41"/>
      <c r="H175" s="41"/>
      <c r="I175" s="41"/>
      <c r="J175" s="41"/>
      <c r="K175" s="83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s="42" customFormat="1" ht="13.5">
      <c r="A176" s="37" t="s">
        <v>778</v>
      </c>
      <c r="B176" s="37"/>
      <c r="C176" s="230" t="s">
        <v>779</v>
      </c>
      <c r="D176" s="177" t="s">
        <v>391</v>
      </c>
      <c r="E176" s="41">
        <v>1</v>
      </c>
      <c r="F176" s="41"/>
      <c r="G176" s="41"/>
      <c r="H176" s="41"/>
      <c r="I176" s="41"/>
      <c r="J176" s="41"/>
      <c r="K176" s="83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s="42" customFormat="1" ht="13.5">
      <c r="A177" s="37" t="s">
        <v>780</v>
      </c>
      <c r="B177" s="37"/>
      <c r="C177" s="230" t="s">
        <v>628</v>
      </c>
      <c r="D177" s="177" t="s">
        <v>391</v>
      </c>
      <c r="E177" s="41">
        <v>8</v>
      </c>
      <c r="F177" s="41"/>
      <c r="G177" s="41"/>
      <c r="H177" s="41"/>
      <c r="I177" s="41"/>
      <c r="J177" s="41"/>
      <c r="K177" s="83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s="42" customFormat="1" ht="13.5">
      <c r="A178" s="37" t="s">
        <v>781</v>
      </c>
      <c r="B178" s="37"/>
      <c r="C178" s="230" t="s">
        <v>782</v>
      </c>
      <c r="D178" s="177" t="s">
        <v>391</v>
      </c>
      <c r="E178" s="41">
        <v>12</v>
      </c>
      <c r="F178" s="41"/>
      <c r="G178" s="41"/>
      <c r="H178" s="41"/>
      <c r="I178" s="41"/>
      <c r="J178" s="41"/>
      <c r="K178" s="83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s="42" customFormat="1" ht="13.5">
      <c r="A179" s="37" t="s">
        <v>783</v>
      </c>
      <c r="B179" s="37"/>
      <c r="C179" s="230" t="s">
        <v>632</v>
      </c>
      <c r="D179" s="177" t="s">
        <v>391</v>
      </c>
      <c r="E179" s="41">
        <v>2</v>
      </c>
      <c r="F179" s="41"/>
      <c r="G179" s="41"/>
      <c r="H179" s="41"/>
      <c r="I179" s="41"/>
      <c r="J179" s="41"/>
      <c r="K179" s="83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s="42" customFormat="1" ht="13.5">
      <c r="A180" s="37" t="s">
        <v>784</v>
      </c>
      <c r="B180" s="37"/>
      <c r="C180" s="230" t="s">
        <v>637</v>
      </c>
      <c r="D180" s="177" t="s">
        <v>391</v>
      </c>
      <c r="E180" s="41">
        <v>12</v>
      </c>
      <c r="F180" s="41"/>
      <c r="G180" s="41"/>
      <c r="H180" s="41"/>
      <c r="I180" s="41"/>
      <c r="J180" s="41"/>
      <c r="K180" s="83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s="42" customFormat="1" ht="13.5">
      <c r="A181" s="37" t="s">
        <v>785</v>
      </c>
      <c r="B181" s="37"/>
      <c r="C181" s="230" t="s">
        <v>639</v>
      </c>
      <c r="D181" s="177" t="s">
        <v>391</v>
      </c>
      <c r="E181" s="41">
        <v>2</v>
      </c>
      <c r="F181" s="41"/>
      <c r="G181" s="41"/>
      <c r="H181" s="41"/>
      <c r="I181" s="41"/>
      <c r="J181" s="41"/>
      <c r="K181" s="83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s="42" customFormat="1" ht="13.5">
      <c r="A182" s="37" t="s">
        <v>786</v>
      </c>
      <c r="B182" s="37"/>
      <c r="C182" s="230" t="s">
        <v>641</v>
      </c>
      <c r="D182" s="177" t="s">
        <v>391</v>
      </c>
      <c r="E182" s="41">
        <v>2</v>
      </c>
      <c r="F182" s="41"/>
      <c r="G182" s="41"/>
      <c r="H182" s="41"/>
      <c r="I182" s="41"/>
      <c r="J182" s="41"/>
      <c r="K182" s="83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s="42" customFormat="1" ht="13.5">
      <c r="A183" s="37" t="s">
        <v>787</v>
      </c>
      <c r="B183" s="37"/>
      <c r="C183" s="230" t="s">
        <v>643</v>
      </c>
      <c r="D183" s="177" t="s">
        <v>391</v>
      </c>
      <c r="E183" s="41">
        <v>2</v>
      </c>
      <c r="F183" s="41"/>
      <c r="G183" s="41"/>
      <c r="H183" s="41"/>
      <c r="I183" s="41"/>
      <c r="J183" s="41"/>
      <c r="K183" s="83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s="42" customFormat="1" ht="13.5">
      <c r="A184" s="37" t="s">
        <v>788</v>
      </c>
      <c r="B184" s="120">
        <v>21102</v>
      </c>
      <c r="C184" s="230" t="s">
        <v>789</v>
      </c>
      <c r="D184" s="177" t="s">
        <v>391</v>
      </c>
      <c r="E184" s="41">
        <v>10</v>
      </c>
      <c r="F184" s="41"/>
      <c r="G184" s="41"/>
      <c r="H184" s="41"/>
      <c r="I184" s="41"/>
      <c r="J184" s="41"/>
      <c r="K184" s="83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s="42" customFormat="1" ht="13.5">
      <c r="A185" s="37" t="s">
        <v>790</v>
      </c>
      <c r="B185" s="120">
        <v>11703</v>
      </c>
      <c r="C185" s="230" t="s">
        <v>791</v>
      </c>
      <c r="D185" s="177" t="s">
        <v>391</v>
      </c>
      <c r="E185" s="41">
        <v>10</v>
      </c>
      <c r="F185" s="41"/>
      <c r="G185" s="41"/>
      <c r="H185" s="41"/>
      <c r="I185" s="41"/>
      <c r="J185" s="41"/>
      <c r="K185" s="83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s="42" customFormat="1" ht="13.5">
      <c r="A186" s="37" t="s">
        <v>792</v>
      </c>
      <c r="B186" s="37"/>
      <c r="C186" s="230" t="s">
        <v>793</v>
      </c>
      <c r="D186" s="177" t="s">
        <v>391</v>
      </c>
      <c r="E186" s="41">
        <v>10</v>
      </c>
      <c r="F186" s="41"/>
      <c r="G186" s="41"/>
      <c r="H186" s="41"/>
      <c r="I186" s="41"/>
      <c r="J186" s="41"/>
      <c r="K186" s="83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s="42" customFormat="1" ht="13.5">
      <c r="A187" s="37" t="s">
        <v>794</v>
      </c>
      <c r="B187" s="120">
        <v>21101</v>
      </c>
      <c r="C187" s="230" t="s">
        <v>795</v>
      </c>
      <c r="D187" s="177" t="s">
        <v>391</v>
      </c>
      <c r="E187" s="41">
        <v>10</v>
      </c>
      <c r="F187" s="41"/>
      <c r="G187" s="41"/>
      <c r="H187" s="41"/>
      <c r="I187" s="41"/>
      <c r="J187" s="41"/>
      <c r="K187" s="83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s="42" customFormat="1" ht="13.5">
      <c r="A188" s="37" t="s">
        <v>796</v>
      </c>
      <c r="B188" s="239" t="s">
        <v>645</v>
      </c>
      <c r="C188" s="289" t="s">
        <v>646</v>
      </c>
      <c r="D188" s="196" t="s">
        <v>189</v>
      </c>
      <c r="E188" s="241">
        <v>52.44</v>
      </c>
      <c r="F188" s="41"/>
      <c r="G188" s="41"/>
      <c r="H188" s="41"/>
      <c r="I188" s="41"/>
      <c r="J188" s="41"/>
      <c r="K188" s="83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4.25">
      <c r="A189" s="67" t="s">
        <v>272</v>
      </c>
      <c r="B189" s="67"/>
      <c r="C189" s="67"/>
      <c r="D189" s="67"/>
      <c r="E189" s="67"/>
      <c r="F189" s="67"/>
      <c r="G189" s="67"/>
      <c r="H189" s="67"/>
      <c r="I189" s="67"/>
      <c r="J189" s="267"/>
      <c r="K189" s="260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2" s="73" customFormat="1" ht="13.5">
      <c r="A190" s="69" t="s">
        <v>273</v>
      </c>
      <c r="B190" s="70" t="s">
        <v>274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1"/>
      <c r="M190" s="72"/>
      <c r="N190" s="72"/>
      <c r="O190" s="72"/>
      <c r="P190" s="72"/>
      <c r="Q190" s="72"/>
      <c r="R190" s="72"/>
      <c r="S190" s="72"/>
      <c r="T190" s="72"/>
      <c r="U190" s="72"/>
      <c r="V190" s="72"/>
    </row>
    <row r="191" spans="1:22" s="78" customFormat="1" ht="13.5">
      <c r="A191" s="74" t="s">
        <v>275</v>
      </c>
      <c r="B191" s="120"/>
      <c r="C191" s="126" t="s">
        <v>797</v>
      </c>
      <c r="D191" s="75" t="s">
        <v>189</v>
      </c>
      <c r="E191" s="41">
        <v>46.2</v>
      </c>
      <c r="F191" s="81"/>
      <c r="G191" s="81"/>
      <c r="H191" s="81"/>
      <c r="I191" s="81"/>
      <c r="J191" s="81"/>
      <c r="K191" s="81"/>
      <c r="L191" s="71"/>
      <c r="M191" s="72"/>
      <c r="N191" s="72"/>
      <c r="O191" s="72"/>
      <c r="P191" s="72"/>
      <c r="Q191" s="72"/>
      <c r="R191" s="72"/>
      <c r="S191" s="72"/>
      <c r="T191" s="72"/>
      <c r="U191" s="72"/>
      <c r="V191" s="72"/>
    </row>
    <row r="192" spans="1:22" s="194" customFormat="1" ht="14.25">
      <c r="A192" s="74" t="s">
        <v>276</v>
      </c>
      <c r="B192" s="120">
        <v>72075</v>
      </c>
      <c r="C192" s="126" t="s">
        <v>647</v>
      </c>
      <c r="D192" s="75" t="s">
        <v>23</v>
      </c>
      <c r="E192" s="41">
        <f>E209+17.58+7.46+4.85+(3.75*9)</f>
        <v>431.53225000000003</v>
      </c>
      <c r="F192" s="76"/>
      <c r="G192" s="41"/>
      <c r="H192" s="76"/>
      <c r="I192" s="41"/>
      <c r="J192" s="41"/>
      <c r="K192" s="41"/>
      <c r="L192" s="71"/>
      <c r="M192" s="72"/>
      <c r="N192" s="72"/>
      <c r="O192" s="72"/>
      <c r="P192" s="72"/>
      <c r="Q192" s="72"/>
      <c r="R192" s="72"/>
      <c r="S192" s="72"/>
      <c r="T192" s="72"/>
      <c r="U192" s="72"/>
      <c r="V192" s="72"/>
    </row>
    <row r="193" spans="1:22" s="73" customFormat="1" ht="14.25">
      <c r="A193" s="79" t="s">
        <v>285</v>
      </c>
      <c r="B193" s="79"/>
      <c r="C193" s="79"/>
      <c r="D193" s="79"/>
      <c r="E193" s="79"/>
      <c r="F193" s="79"/>
      <c r="G193" s="79"/>
      <c r="H193" s="79"/>
      <c r="I193" s="79"/>
      <c r="J193" s="267"/>
      <c r="K193" s="267"/>
      <c r="L193" s="80"/>
      <c r="M193" s="72"/>
      <c r="N193" s="72"/>
      <c r="O193" s="72"/>
      <c r="P193" s="72"/>
      <c r="Q193" s="72"/>
      <c r="R193" s="72"/>
      <c r="S193" s="72"/>
      <c r="T193" s="72"/>
      <c r="U193" s="72"/>
      <c r="V193" s="72"/>
    </row>
    <row r="194" spans="1:20" ht="13.5">
      <c r="A194" s="34" t="s">
        <v>286</v>
      </c>
      <c r="B194" s="35" t="s">
        <v>287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s="42" customFormat="1" ht="13.5">
      <c r="A195" s="118" t="s">
        <v>288</v>
      </c>
      <c r="B195" s="118"/>
      <c r="C195" s="244" t="s">
        <v>648</v>
      </c>
      <c r="D195" s="75" t="s">
        <v>391</v>
      </c>
      <c r="E195" s="119">
        <v>4</v>
      </c>
      <c r="F195" s="119"/>
      <c r="G195" s="119"/>
      <c r="H195" s="119"/>
      <c r="I195" s="119"/>
      <c r="J195" s="41"/>
      <c r="K195" s="83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s="42" customFormat="1" ht="13.5">
      <c r="A196" s="118" t="s">
        <v>289</v>
      </c>
      <c r="B196" s="118"/>
      <c r="C196" s="244" t="s">
        <v>649</v>
      </c>
      <c r="D196" s="75" t="s">
        <v>391</v>
      </c>
      <c r="E196" s="119">
        <v>2</v>
      </c>
      <c r="F196" s="119"/>
      <c r="G196" s="119"/>
      <c r="H196" s="119"/>
      <c r="I196" s="119"/>
      <c r="J196" s="41"/>
      <c r="K196" s="83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s="42" customFormat="1" ht="13.5">
      <c r="A197" s="118" t="s">
        <v>290</v>
      </c>
      <c r="B197" s="118"/>
      <c r="C197" s="244" t="s">
        <v>798</v>
      </c>
      <c r="D197" s="75" t="s">
        <v>391</v>
      </c>
      <c r="E197" s="119">
        <v>1</v>
      </c>
      <c r="F197" s="119"/>
      <c r="G197" s="119"/>
      <c r="H197" s="119"/>
      <c r="I197" s="119"/>
      <c r="J197" s="41"/>
      <c r="K197" s="83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s="42" customFormat="1" ht="13.5">
      <c r="A198" s="118" t="s">
        <v>291</v>
      </c>
      <c r="B198" s="118"/>
      <c r="C198" s="244" t="s">
        <v>651</v>
      </c>
      <c r="D198" s="75" t="s">
        <v>189</v>
      </c>
      <c r="E198" s="119">
        <v>4</v>
      </c>
      <c r="F198" s="119"/>
      <c r="G198" s="119"/>
      <c r="H198" s="119"/>
      <c r="I198" s="119"/>
      <c r="J198" s="41"/>
      <c r="K198" s="83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s="42" customFormat="1" ht="13.5">
      <c r="A199" s="118" t="s">
        <v>292</v>
      </c>
      <c r="B199" s="118"/>
      <c r="C199" s="244" t="s">
        <v>652</v>
      </c>
      <c r="D199" s="75" t="s">
        <v>391</v>
      </c>
      <c r="E199" s="119">
        <v>1</v>
      </c>
      <c r="F199" s="119"/>
      <c r="G199" s="119"/>
      <c r="H199" s="119"/>
      <c r="I199" s="119"/>
      <c r="J199" s="41"/>
      <c r="K199" s="83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s="42" customFormat="1" ht="13.5">
      <c r="A200" s="118" t="s">
        <v>293</v>
      </c>
      <c r="B200" s="118"/>
      <c r="C200" s="244" t="s">
        <v>653</v>
      </c>
      <c r="D200" s="75" t="s">
        <v>391</v>
      </c>
      <c r="E200" s="119">
        <v>1</v>
      </c>
      <c r="F200" s="119"/>
      <c r="G200" s="119"/>
      <c r="H200" s="119"/>
      <c r="I200" s="119"/>
      <c r="J200" s="41"/>
      <c r="K200" s="83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s="42" customFormat="1" ht="13.5">
      <c r="A201" s="118" t="s">
        <v>294</v>
      </c>
      <c r="B201" s="75" t="s">
        <v>484</v>
      </c>
      <c r="C201" s="244" t="s">
        <v>654</v>
      </c>
      <c r="D201" s="75" t="s">
        <v>391</v>
      </c>
      <c r="E201" s="119">
        <v>3</v>
      </c>
      <c r="F201" s="119"/>
      <c r="G201" s="119"/>
      <c r="H201" s="119"/>
      <c r="I201" s="119"/>
      <c r="J201" s="41"/>
      <c r="K201" s="83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s="42" customFormat="1" ht="15.75" customHeight="1">
      <c r="A202" s="118" t="s">
        <v>295</v>
      </c>
      <c r="B202" s="118"/>
      <c r="C202" s="290" t="s">
        <v>655</v>
      </c>
      <c r="D202" s="75" t="s">
        <v>391</v>
      </c>
      <c r="E202" s="41">
        <v>8</v>
      </c>
      <c r="F202" s="41"/>
      <c r="G202" s="119"/>
      <c r="H202" s="119"/>
      <c r="I202" s="119"/>
      <c r="J202" s="41"/>
      <c r="K202" s="83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11" ht="14.25">
      <c r="A203" s="67" t="s">
        <v>298</v>
      </c>
      <c r="B203" s="67"/>
      <c r="C203" s="67"/>
      <c r="D203" s="67"/>
      <c r="E203" s="67"/>
      <c r="F203" s="67"/>
      <c r="G203" s="67"/>
      <c r="H203" s="67"/>
      <c r="I203" s="67"/>
      <c r="J203" s="267"/>
      <c r="K203" s="260"/>
    </row>
    <row r="204" spans="1:20" ht="13.5">
      <c r="A204" s="34" t="s">
        <v>299</v>
      </c>
      <c r="B204" s="35" t="s">
        <v>300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s="42" customFormat="1" ht="13.5">
      <c r="A205" s="37" t="s">
        <v>301</v>
      </c>
      <c r="B205" s="120">
        <v>5974</v>
      </c>
      <c r="C205" s="44" t="s">
        <v>656</v>
      </c>
      <c r="D205" s="40" t="s">
        <v>23</v>
      </c>
      <c r="E205" s="41">
        <f>(E56+E57+E58)*2</f>
        <v>1994.3109999999997</v>
      </c>
      <c r="F205" s="41"/>
      <c r="G205" s="41"/>
      <c r="H205" s="41"/>
      <c r="I205" s="41"/>
      <c r="J205" s="41"/>
      <c r="K205" s="41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s="42" customFormat="1" ht="13.5">
      <c r="A206" s="37" t="s">
        <v>303</v>
      </c>
      <c r="B206" s="120">
        <v>5975</v>
      </c>
      <c r="C206" s="44" t="s">
        <v>657</v>
      </c>
      <c r="D206" s="40" t="s">
        <v>23</v>
      </c>
      <c r="E206" s="41">
        <f>E13</f>
        <v>607.61</v>
      </c>
      <c r="F206" s="41"/>
      <c r="G206" s="41"/>
      <c r="H206" s="41"/>
      <c r="I206" s="41"/>
      <c r="J206" s="41"/>
      <c r="K206" s="41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s="42" customFormat="1" ht="23.25">
      <c r="A207" s="37" t="s">
        <v>304</v>
      </c>
      <c r="B207" s="120">
        <v>5982</v>
      </c>
      <c r="C207" s="44" t="s">
        <v>658</v>
      </c>
      <c r="D207" s="40" t="s">
        <v>23</v>
      </c>
      <c r="E207" s="41">
        <f>E206</f>
        <v>607.61</v>
      </c>
      <c r="F207" s="41"/>
      <c r="G207" s="41"/>
      <c r="H207" s="41"/>
      <c r="I207" s="41"/>
      <c r="J207" s="41"/>
      <c r="K207" s="41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s="42" customFormat="1" ht="23.25">
      <c r="A208" s="37" t="s">
        <v>305</v>
      </c>
      <c r="B208" s="120">
        <v>5992</v>
      </c>
      <c r="C208" s="44" t="s">
        <v>659</v>
      </c>
      <c r="D208" s="40" t="s">
        <v>23</v>
      </c>
      <c r="E208" s="41">
        <f>E205</f>
        <v>1994.3109999999997</v>
      </c>
      <c r="F208" s="41"/>
      <c r="G208" s="41"/>
      <c r="H208" s="41"/>
      <c r="I208" s="41"/>
      <c r="J208" s="41"/>
      <c r="K208" s="41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s="42" customFormat="1" ht="13.5">
      <c r="A209" s="37" t="s">
        <v>306</v>
      </c>
      <c r="B209" s="120" t="s">
        <v>660</v>
      </c>
      <c r="C209" s="44" t="s">
        <v>661</v>
      </c>
      <c r="D209" s="40" t="s">
        <v>23</v>
      </c>
      <c r="E209" s="41">
        <f>(2.85*((8*9)+9.1+11.3+12.15+(6.4*2)))*1.1</f>
        <v>367.89225000000005</v>
      </c>
      <c r="F209" s="41"/>
      <c r="G209" s="41"/>
      <c r="H209" s="41"/>
      <c r="I209" s="41"/>
      <c r="J209" s="41"/>
      <c r="K209" s="41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s="42" customFormat="1" ht="15" customHeight="1">
      <c r="A210" s="37" t="s">
        <v>307</v>
      </c>
      <c r="B210" s="120">
        <v>9536</v>
      </c>
      <c r="C210" s="44" t="s">
        <v>663</v>
      </c>
      <c r="D210" s="40" t="s">
        <v>23</v>
      </c>
      <c r="E210" s="41">
        <f>34.24+28.62+2.78+2.6</f>
        <v>68.24</v>
      </c>
      <c r="F210" s="41"/>
      <c r="G210" s="41"/>
      <c r="H210" s="41"/>
      <c r="I210" s="41"/>
      <c r="J210" s="41"/>
      <c r="K210" s="41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s="42" customFormat="1" ht="15" customHeight="1">
      <c r="A211" s="37" t="s">
        <v>308</v>
      </c>
      <c r="B211" s="120" t="s">
        <v>664</v>
      </c>
      <c r="C211" s="44" t="s">
        <v>665</v>
      </c>
      <c r="D211" s="40" t="s">
        <v>23</v>
      </c>
      <c r="E211" s="98">
        <v>575.81</v>
      </c>
      <c r="F211" s="41"/>
      <c r="G211" s="41"/>
      <c r="H211" s="41"/>
      <c r="I211" s="41"/>
      <c r="J211" s="41"/>
      <c r="K211" s="41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s="42" customFormat="1" ht="24" customHeight="1">
      <c r="A212" s="37" t="s">
        <v>309</v>
      </c>
      <c r="B212" s="120" t="s">
        <v>666</v>
      </c>
      <c r="C212" s="291" t="s">
        <v>667</v>
      </c>
      <c r="D212" s="40" t="s">
        <v>23</v>
      </c>
      <c r="E212" s="41">
        <f>(((16.68+3.75)*7)+20.6+4.85+((19.26+3.75)*2)+4.75+3.75+7.46+17.58+(2.55*2))*1.1</f>
        <v>278.432</v>
      </c>
      <c r="F212" s="41"/>
      <c r="G212" s="41"/>
      <c r="H212" s="41"/>
      <c r="I212" s="41"/>
      <c r="J212" s="41"/>
      <c r="K212" s="41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s="42" customFormat="1" ht="23.25">
      <c r="A213" s="37" t="s">
        <v>310</v>
      </c>
      <c r="B213" s="120" t="s">
        <v>669</v>
      </c>
      <c r="C213" s="47" t="s">
        <v>670</v>
      </c>
      <c r="D213" s="40" t="s">
        <v>23</v>
      </c>
      <c r="E213" s="41">
        <f>(51.05+3.78+10.17+30.71+33.5+14.65+26.79+84.8)*1.1</f>
        <v>280.995</v>
      </c>
      <c r="F213" s="41"/>
      <c r="G213" s="41"/>
      <c r="H213" s="41"/>
      <c r="I213" s="41"/>
      <c r="J213" s="41"/>
      <c r="K213" s="41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s="42" customFormat="1" ht="23.25">
      <c r="A214" s="37" t="s">
        <v>311</v>
      </c>
      <c r="B214" s="120" t="s">
        <v>799</v>
      </c>
      <c r="C214" s="291" t="s">
        <v>800</v>
      </c>
      <c r="D214" s="40" t="s">
        <v>23</v>
      </c>
      <c r="E214" s="41">
        <f>23.48*1.1</f>
        <v>25.828000000000003</v>
      </c>
      <c r="F214" s="41"/>
      <c r="G214" s="41"/>
      <c r="H214" s="41"/>
      <c r="I214" s="41"/>
      <c r="J214" s="41"/>
      <c r="K214" s="41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s="42" customFormat="1" ht="13.5">
      <c r="A215" s="37" t="s">
        <v>312</v>
      </c>
      <c r="B215" s="120">
        <v>72948</v>
      </c>
      <c r="C215" s="291" t="s">
        <v>801</v>
      </c>
      <c r="D215" s="40" t="s">
        <v>346</v>
      </c>
      <c r="E215" s="41">
        <f>(E214/1.1)*0.6</f>
        <v>14.088000000000003</v>
      </c>
      <c r="F215" s="41"/>
      <c r="G215" s="41"/>
      <c r="H215" s="41"/>
      <c r="I215" s="41"/>
      <c r="J215" s="41"/>
      <c r="K215" s="41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s="42" customFormat="1" ht="13.5">
      <c r="A216" s="37" t="s">
        <v>668</v>
      </c>
      <c r="B216" s="120" t="s">
        <v>674</v>
      </c>
      <c r="C216" s="292" t="s">
        <v>675</v>
      </c>
      <c r="D216" s="40" t="s">
        <v>189</v>
      </c>
      <c r="E216" s="41">
        <f>((0.5*12)+(0.5*2)+1.5+(1.6*10)+1.5)*1.1</f>
        <v>28.6</v>
      </c>
      <c r="F216" s="41"/>
      <c r="G216" s="41"/>
      <c r="H216" s="41"/>
      <c r="I216" s="41"/>
      <c r="J216" s="41"/>
      <c r="K216" s="41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s="42" customFormat="1" ht="13.5">
      <c r="A217" s="37" t="s">
        <v>671</v>
      </c>
      <c r="B217" s="120" t="s">
        <v>677</v>
      </c>
      <c r="C217" s="47" t="s">
        <v>678</v>
      </c>
      <c r="D217" s="40" t="s">
        <v>189</v>
      </c>
      <c r="E217" s="41">
        <f>((0.8*16)+(E63/2.7)+1.6+(0.7*9)+3.2+0.8+(3.2*3)+4.75)*1.1</f>
        <v>58.12888888888891</v>
      </c>
      <c r="F217" s="41"/>
      <c r="G217" s="41"/>
      <c r="H217" s="41"/>
      <c r="I217" s="41"/>
      <c r="J217" s="41"/>
      <c r="K217" s="41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s="42" customFormat="1" ht="13.5">
      <c r="A218" s="37" t="s">
        <v>673</v>
      </c>
      <c r="B218" s="120" t="s">
        <v>680</v>
      </c>
      <c r="C218" s="291" t="s">
        <v>681</v>
      </c>
      <c r="D218" s="40" t="s">
        <v>189</v>
      </c>
      <c r="E218" s="41">
        <f>3.3+3.3+(9*0.8)</f>
        <v>13.8</v>
      </c>
      <c r="G218" s="41"/>
      <c r="H218" s="41"/>
      <c r="I218" s="41"/>
      <c r="J218" s="41"/>
      <c r="K218" s="41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s="42" customFormat="1" ht="24" customHeight="1">
      <c r="A219" s="37" t="s">
        <v>676</v>
      </c>
      <c r="B219" s="120" t="s">
        <v>683</v>
      </c>
      <c r="C219" s="293" t="s">
        <v>684</v>
      </c>
      <c r="D219" s="40" t="s">
        <v>189</v>
      </c>
      <c r="E219" s="41">
        <f>((18.7*7)+21.2+8.3+8.3+(19.7*2)+8.8+8+19.1+7.3+106.1)*1.1</f>
        <v>393.14000000000004</v>
      </c>
      <c r="F219" s="41"/>
      <c r="G219" s="41"/>
      <c r="H219" s="41"/>
      <c r="I219" s="41"/>
      <c r="J219" s="41"/>
      <c r="K219" s="41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3.5">
      <c r="A220" s="67" t="s">
        <v>313</v>
      </c>
      <c r="B220" s="67"/>
      <c r="C220" s="67"/>
      <c r="D220" s="67"/>
      <c r="E220" s="67"/>
      <c r="F220" s="67"/>
      <c r="G220" s="67"/>
      <c r="H220" s="67"/>
      <c r="I220" s="67"/>
      <c r="J220" s="53"/>
      <c r="K220" s="53"/>
      <c r="L220" s="68"/>
      <c r="M220" s="36"/>
      <c r="N220" s="36"/>
      <c r="O220" s="36"/>
      <c r="P220" s="36"/>
      <c r="Q220" s="36"/>
      <c r="R220" s="36"/>
      <c r="S220" s="36"/>
      <c r="T220" s="36"/>
    </row>
    <row r="221" spans="1:21" s="73" customFormat="1" ht="13.5">
      <c r="A221" s="69" t="s">
        <v>314</v>
      </c>
      <c r="B221" s="85" t="s">
        <v>315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71"/>
      <c r="M221" s="72"/>
      <c r="N221" s="72"/>
      <c r="O221" s="72"/>
      <c r="P221" s="72"/>
      <c r="Q221" s="72"/>
      <c r="R221" s="72"/>
      <c r="S221" s="72"/>
      <c r="T221" s="72"/>
      <c r="U221" s="72"/>
    </row>
    <row r="222" spans="1:21" s="78" customFormat="1" ht="13.5">
      <c r="A222" s="74" t="s">
        <v>316</v>
      </c>
      <c r="B222" s="253">
        <v>72123</v>
      </c>
      <c r="C222" s="126" t="s">
        <v>685</v>
      </c>
      <c r="D222" s="75" t="s">
        <v>23</v>
      </c>
      <c r="E222" s="41">
        <f>5.25*4</f>
        <v>21</v>
      </c>
      <c r="F222" s="41"/>
      <c r="G222" s="41"/>
      <c r="H222" s="41"/>
      <c r="I222" s="41"/>
      <c r="J222" s="41"/>
      <c r="K222" s="41"/>
      <c r="L222" s="71"/>
      <c r="M222" s="72"/>
      <c r="N222" s="72"/>
      <c r="O222" s="72"/>
      <c r="P222" s="72"/>
      <c r="Q222" s="72"/>
      <c r="R222" s="72"/>
      <c r="S222" s="72"/>
      <c r="T222" s="72"/>
      <c r="U222" s="72"/>
    </row>
    <row r="223" spans="1:21" s="78" customFormat="1" ht="13.5">
      <c r="A223" s="74" t="s">
        <v>317</v>
      </c>
      <c r="B223" s="253">
        <v>72120</v>
      </c>
      <c r="C223" s="126" t="s">
        <v>686</v>
      </c>
      <c r="D223" s="75" t="s">
        <v>23</v>
      </c>
      <c r="E223" s="41">
        <f>(3.2+2.5)*2.85</f>
        <v>16.245</v>
      </c>
      <c r="F223" s="41"/>
      <c r="G223" s="41"/>
      <c r="H223" s="41"/>
      <c r="I223" s="41"/>
      <c r="J223" s="41"/>
      <c r="K223" s="41"/>
      <c r="L223" s="71"/>
      <c r="M223" s="72"/>
      <c r="N223" s="72"/>
      <c r="O223" s="72"/>
      <c r="P223" s="72"/>
      <c r="Q223" s="72"/>
      <c r="R223" s="72"/>
      <c r="S223" s="72"/>
      <c r="T223" s="72"/>
      <c r="U223" s="72"/>
    </row>
    <row r="224" spans="1:21" s="78" customFormat="1" ht="13.5">
      <c r="A224" s="74" t="s">
        <v>318</v>
      </c>
      <c r="B224" s="253">
        <v>72116</v>
      </c>
      <c r="C224" s="126" t="s">
        <v>802</v>
      </c>
      <c r="D224" s="75" t="s">
        <v>23</v>
      </c>
      <c r="E224" s="41">
        <f>3.2*2.5*1</f>
        <v>8</v>
      </c>
      <c r="F224" s="41"/>
      <c r="G224" s="41"/>
      <c r="H224" s="41"/>
      <c r="I224" s="41"/>
      <c r="J224" s="41"/>
      <c r="K224" s="41"/>
      <c r="L224" s="71"/>
      <c r="M224" s="72"/>
      <c r="N224" s="72"/>
      <c r="O224" s="72"/>
      <c r="P224" s="72"/>
      <c r="Q224" s="72"/>
      <c r="R224" s="72"/>
      <c r="S224" s="72"/>
      <c r="T224" s="72"/>
      <c r="U224" s="72"/>
    </row>
    <row r="225" spans="1:21" s="78" customFormat="1" ht="13.5">
      <c r="A225" s="74" t="s">
        <v>319</v>
      </c>
      <c r="B225" s="253">
        <v>72116</v>
      </c>
      <c r="C225" s="126" t="s">
        <v>803</v>
      </c>
      <c r="D225" s="75" t="s">
        <v>23</v>
      </c>
      <c r="E225" s="41">
        <f>3.2*2.5*3</f>
        <v>24</v>
      </c>
      <c r="F225" s="41"/>
      <c r="G225" s="41"/>
      <c r="H225" s="41"/>
      <c r="I225" s="41"/>
      <c r="J225" s="41"/>
      <c r="K225" s="41"/>
      <c r="L225" s="71"/>
      <c r="M225" s="72"/>
      <c r="N225" s="72"/>
      <c r="O225" s="72"/>
      <c r="P225" s="72"/>
      <c r="Q225" s="72"/>
      <c r="R225" s="72"/>
      <c r="S225" s="72"/>
      <c r="T225" s="72"/>
      <c r="U225" s="72"/>
    </row>
    <row r="226" spans="1:21" s="78" customFormat="1" ht="13.5">
      <c r="A226" s="74" t="s">
        <v>320</v>
      </c>
      <c r="B226" s="253">
        <v>72122</v>
      </c>
      <c r="C226" s="126" t="s">
        <v>804</v>
      </c>
      <c r="D226" s="75" t="s">
        <v>23</v>
      </c>
      <c r="E226" s="41">
        <f>0.5*0.6*12</f>
        <v>3.6000000000000005</v>
      </c>
      <c r="F226" s="41"/>
      <c r="G226" s="41"/>
      <c r="H226" s="41"/>
      <c r="I226" s="41"/>
      <c r="J226" s="41"/>
      <c r="K226" s="41"/>
      <c r="L226" s="71"/>
      <c r="M226" s="72"/>
      <c r="N226" s="72"/>
      <c r="O226" s="72"/>
      <c r="P226" s="72"/>
      <c r="Q226" s="72"/>
      <c r="R226" s="72"/>
      <c r="S226" s="72"/>
      <c r="T226" s="72"/>
      <c r="U226" s="72"/>
    </row>
    <row r="227" spans="1:21" s="78" customFormat="1" ht="13.5">
      <c r="A227" s="74" t="s">
        <v>321</v>
      </c>
      <c r="B227" s="253">
        <v>72116</v>
      </c>
      <c r="C227" s="126" t="s">
        <v>805</v>
      </c>
      <c r="D227" s="75" t="s">
        <v>23</v>
      </c>
      <c r="E227" s="41">
        <f>0.5*1.6*2</f>
        <v>1.6</v>
      </c>
      <c r="F227" s="41"/>
      <c r="G227" s="41"/>
      <c r="H227" s="41"/>
      <c r="I227" s="41"/>
      <c r="J227" s="41"/>
      <c r="K227" s="41"/>
      <c r="L227" s="71"/>
      <c r="M227" s="72"/>
      <c r="N227" s="72"/>
      <c r="O227" s="72"/>
      <c r="P227" s="72"/>
      <c r="Q227" s="72"/>
      <c r="R227" s="72"/>
      <c r="S227" s="72"/>
      <c r="T227" s="72"/>
      <c r="U227" s="72"/>
    </row>
    <row r="228" spans="1:21" s="78" customFormat="1" ht="13.5">
      <c r="A228" s="74" t="s">
        <v>322</v>
      </c>
      <c r="B228" s="253">
        <v>72117</v>
      </c>
      <c r="C228" s="126" t="s">
        <v>806</v>
      </c>
      <c r="D228" s="75" t="s">
        <v>23</v>
      </c>
      <c r="E228" s="41">
        <f>1.5*1.3*1</f>
        <v>1.9500000000000002</v>
      </c>
      <c r="F228" s="41"/>
      <c r="G228" s="41"/>
      <c r="H228" s="41"/>
      <c r="I228" s="41"/>
      <c r="J228" s="41"/>
      <c r="K228" s="41"/>
      <c r="L228" s="71"/>
      <c r="M228" s="72"/>
      <c r="N228" s="72"/>
      <c r="O228" s="72"/>
      <c r="P228" s="72"/>
      <c r="Q228" s="72"/>
      <c r="R228" s="72"/>
      <c r="S228" s="72"/>
      <c r="T228" s="72"/>
      <c r="U228" s="72"/>
    </row>
    <row r="229" spans="1:21" s="78" customFormat="1" ht="13.5">
      <c r="A229" s="74" t="s">
        <v>323</v>
      </c>
      <c r="B229" s="253">
        <v>72118</v>
      </c>
      <c r="C229" s="126" t="s">
        <v>807</v>
      </c>
      <c r="D229" s="75" t="s">
        <v>23</v>
      </c>
      <c r="E229" s="41">
        <f>1.6*1.3*10</f>
        <v>20.8</v>
      </c>
      <c r="F229" s="41"/>
      <c r="G229" s="41"/>
      <c r="H229" s="41"/>
      <c r="I229" s="41"/>
      <c r="J229" s="41"/>
      <c r="K229" s="41"/>
      <c r="L229" s="71"/>
      <c r="M229" s="72"/>
      <c r="N229" s="72"/>
      <c r="O229" s="72"/>
      <c r="P229" s="72"/>
      <c r="Q229" s="72"/>
      <c r="R229" s="72"/>
      <c r="S229" s="72"/>
      <c r="T229" s="72"/>
      <c r="U229" s="72"/>
    </row>
    <row r="230" spans="1:21" s="78" customFormat="1" ht="13.5">
      <c r="A230" s="74" t="s">
        <v>324</v>
      </c>
      <c r="B230" s="253">
        <v>72116</v>
      </c>
      <c r="C230" s="126" t="s">
        <v>808</v>
      </c>
      <c r="D230" s="75" t="s">
        <v>23</v>
      </c>
      <c r="E230" s="41">
        <f>1.5*0.9*1</f>
        <v>1.35</v>
      </c>
      <c r="F230" s="41"/>
      <c r="G230" s="41"/>
      <c r="H230" s="41"/>
      <c r="I230" s="41"/>
      <c r="J230" s="41"/>
      <c r="K230" s="41"/>
      <c r="L230" s="71"/>
      <c r="M230" s="72"/>
      <c r="N230" s="72"/>
      <c r="O230" s="72"/>
      <c r="P230" s="72"/>
      <c r="Q230" s="72"/>
      <c r="R230" s="72"/>
      <c r="S230" s="72"/>
      <c r="T230" s="72"/>
      <c r="U230" s="72"/>
    </row>
    <row r="231" spans="1:21" s="73" customFormat="1" ht="13.5">
      <c r="A231" s="122" t="s">
        <v>326</v>
      </c>
      <c r="B231" s="122"/>
      <c r="C231" s="122"/>
      <c r="D231" s="122"/>
      <c r="E231" s="122"/>
      <c r="F231" s="122"/>
      <c r="G231" s="122"/>
      <c r="H231" s="122"/>
      <c r="I231" s="122"/>
      <c r="J231" s="53"/>
      <c r="K231" s="53"/>
      <c r="L231" s="80"/>
      <c r="M231" s="72"/>
      <c r="N231" s="72"/>
      <c r="O231" s="72"/>
      <c r="P231" s="72"/>
      <c r="Q231" s="72"/>
      <c r="R231" s="72"/>
      <c r="S231" s="72"/>
      <c r="T231" s="72"/>
      <c r="U231" s="72"/>
    </row>
    <row r="232" spans="1:20" s="42" customFormat="1" ht="13.5">
      <c r="A232" s="34" t="s">
        <v>327</v>
      </c>
      <c r="B232" s="123" t="s">
        <v>328</v>
      </c>
      <c r="C232" s="123"/>
      <c r="D232" s="123"/>
      <c r="E232" s="123"/>
      <c r="F232" s="123"/>
      <c r="G232" s="123"/>
      <c r="H232" s="123"/>
      <c r="I232" s="123"/>
      <c r="J232" s="123"/>
      <c r="K232" s="123"/>
      <c r="L232" s="68"/>
      <c r="M232" s="36"/>
      <c r="N232" s="36"/>
      <c r="O232" s="36"/>
      <c r="P232" s="36"/>
      <c r="Q232" s="36"/>
      <c r="R232" s="36"/>
      <c r="S232" s="36"/>
      <c r="T232" s="36"/>
    </row>
    <row r="233" spans="1:20" s="42" customFormat="1" ht="13.5">
      <c r="A233" s="37" t="s">
        <v>329</v>
      </c>
      <c r="B233" s="38" t="s">
        <v>692</v>
      </c>
      <c r="C233" s="47" t="s">
        <v>693</v>
      </c>
      <c r="D233" s="40" t="s">
        <v>23</v>
      </c>
      <c r="E233" s="41">
        <f>E205+E206-(E209/1.1)</f>
        <v>2267.4735</v>
      </c>
      <c r="F233" s="41"/>
      <c r="G233" s="41"/>
      <c r="H233" s="41"/>
      <c r="I233" s="41"/>
      <c r="J233" s="41"/>
      <c r="K233" s="41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s="42" customFormat="1" ht="13.5">
      <c r="A234" s="37" t="s">
        <v>330</v>
      </c>
      <c r="B234" s="38" t="s">
        <v>694</v>
      </c>
      <c r="C234" s="47" t="s">
        <v>695</v>
      </c>
      <c r="D234" s="40" t="s">
        <v>23</v>
      </c>
      <c r="E234" s="41">
        <f>E233</f>
        <v>2267.4735</v>
      </c>
      <c r="F234" s="41"/>
      <c r="G234" s="41"/>
      <c r="H234" s="41"/>
      <c r="I234" s="41"/>
      <c r="J234" s="41"/>
      <c r="K234" s="41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s="42" customFormat="1" ht="13.5">
      <c r="A235" s="37" t="s">
        <v>331</v>
      </c>
      <c r="B235" s="38" t="s">
        <v>696</v>
      </c>
      <c r="C235" s="47" t="s">
        <v>697</v>
      </c>
      <c r="D235" s="40" t="s">
        <v>23</v>
      </c>
      <c r="E235" s="41">
        <f>E210*1.15</f>
        <v>78.47599999999998</v>
      </c>
      <c r="F235" s="41"/>
      <c r="G235" s="41"/>
      <c r="H235" s="41"/>
      <c r="I235" s="41"/>
      <c r="J235" s="41"/>
      <c r="K235" s="41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s="42" customFormat="1" ht="13.5">
      <c r="A236" s="37" t="s">
        <v>332</v>
      </c>
      <c r="B236" s="120">
        <v>6082</v>
      </c>
      <c r="C236" s="47" t="s">
        <v>698</v>
      </c>
      <c r="D236" s="40" t="s">
        <v>23</v>
      </c>
      <c r="E236" s="41">
        <f>(0.8*2.1*3*16)+(0.7*2.1*3*9)+(0.8*2.1*3*1)</f>
        <v>125.37000000000002</v>
      </c>
      <c r="F236" s="41"/>
      <c r="G236" s="41"/>
      <c r="H236" s="41"/>
      <c r="I236" s="41"/>
      <c r="J236" s="41"/>
      <c r="K236" s="41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s="42" customFormat="1" ht="14.25">
      <c r="A237" s="67" t="s">
        <v>339</v>
      </c>
      <c r="B237" s="67"/>
      <c r="C237" s="67"/>
      <c r="D237" s="67"/>
      <c r="E237" s="67"/>
      <c r="F237" s="67"/>
      <c r="G237" s="67"/>
      <c r="H237" s="67"/>
      <c r="I237" s="67"/>
      <c r="J237" s="267"/>
      <c r="K237" s="267"/>
      <c r="L237" s="68"/>
      <c r="M237" s="36"/>
      <c r="N237" s="36"/>
      <c r="O237" s="36"/>
      <c r="P237" s="36"/>
      <c r="Q237" s="36"/>
      <c r="R237" s="36"/>
      <c r="S237" s="36"/>
      <c r="T237" s="36"/>
    </row>
    <row r="238" spans="1:22" s="73" customFormat="1" ht="13.5">
      <c r="A238" s="69" t="s">
        <v>340</v>
      </c>
      <c r="B238" s="243" t="s">
        <v>341</v>
      </c>
      <c r="C238" s="243"/>
      <c r="D238" s="243"/>
      <c r="E238" s="243"/>
      <c r="F238" s="243"/>
      <c r="G238" s="243"/>
      <c r="H238" s="243"/>
      <c r="I238" s="243"/>
      <c r="J238" s="243"/>
      <c r="K238" s="243"/>
      <c r="L238" s="71"/>
      <c r="M238" s="72"/>
      <c r="N238" s="72"/>
      <c r="O238" s="72"/>
      <c r="P238" s="72"/>
      <c r="Q238" s="72"/>
      <c r="R238" s="72"/>
      <c r="S238" s="72"/>
      <c r="T238" s="72"/>
      <c r="U238" s="72"/>
      <c r="V238" s="72"/>
    </row>
    <row r="239" spans="1:22" s="73" customFormat="1" ht="13.5">
      <c r="A239" s="69" t="s">
        <v>342</v>
      </c>
      <c r="B239" s="139" t="s">
        <v>354</v>
      </c>
      <c r="C239" s="294" t="s">
        <v>699</v>
      </c>
      <c r="D239" s="140" t="s">
        <v>23</v>
      </c>
      <c r="E239" s="76">
        <f>124.33+11.88</f>
        <v>136.21</v>
      </c>
      <c r="F239" s="141"/>
      <c r="G239" s="41"/>
      <c r="H239" s="41"/>
      <c r="I239" s="41"/>
      <c r="J239" s="41"/>
      <c r="K239" s="41"/>
      <c r="L239" s="71"/>
      <c r="M239" s="72"/>
      <c r="N239" s="72"/>
      <c r="O239" s="72"/>
      <c r="P239" s="72"/>
      <c r="Q239" s="72"/>
      <c r="R239" s="72"/>
      <c r="S239" s="72"/>
      <c r="T239" s="72"/>
      <c r="U239" s="72"/>
      <c r="V239" s="72"/>
    </row>
    <row r="240" spans="1:22" s="73" customFormat="1" ht="14.25">
      <c r="A240" s="79" t="s">
        <v>405</v>
      </c>
      <c r="B240" s="79"/>
      <c r="C240" s="79"/>
      <c r="D240" s="79"/>
      <c r="E240" s="79"/>
      <c r="F240" s="79"/>
      <c r="G240" s="79"/>
      <c r="H240" s="79"/>
      <c r="I240" s="79"/>
      <c r="J240" s="267"/>
      <c r="K240" s="267"/>
      <c r="L240" s="80"/>
      <c r="M240" s="72"/>
      <c r="N240" s="72"/>
      <c r="O240" s="72"/>
      <c r="P240" s="72"/>
      <c r="Q240" s="72"/>
      <c r="R240" s="72"/>
      <c r="S240" s="72"/>
      <c r="T240" s="72"/>
      <c r="U240" s="72"/>
      <c r="V240" s="72"/>
    </row>
    <row r="241" spans="1:12" ht="13.5">
      <c r="A241" s="34" t="s">
        <v>406</v>
      </c>
      <c r="B241" s="143" t="s">
        <v>407</v>
      </c>
      <c r="C241" s="143"/>
      <c r="D241" s="143"/>
      <c r="E241" s="143"/>
      <c r="F241" s="143"/>
      <c r="G241" s="143"/>
      <c r="H241" s="143"/>
      <c r="I241" s="143"/>
      <c r="J241" s="143"/>
      <c r="K241" s="143"/>
      <c r="L241" s="144"/>
    </row>
    <row r="242" spans="1:11" s="42" customFormat="1" ht="13.5">
      <c r="A242" s="37" t="s">
        <v>408</v>
      </c>
      <c r="B242" s="120">
        <v>9537</v>
      </c>
      <c r="C242" s="45" t="s">
        <v>700</v>
      </c>
      <c r="D242" s="40" t="s">
        <v>23</v>
      </c>
      <c r="E242" s="41">
        <f>E13</f>
        <v>607.61</v>
      </c>
      <c r="F242" s="41"/>
      <c r="G242" s="41"/>
      <c r="H242" s="41"/>
      <c r="I242" s="41"/>
      <c r="J242" s="41"/>
      <c r="K242" s="41"/>
    </row>
    <row r="243" spans="1:11" ht="14.25">
      <c r="A243" s="67" t="s">
        <v>424</v>
      </c>
      <c r="B243" s="67"/>
      <c r="C243" s="67"/>
      <c r="D243" s="67"/>
      <c r="E243" s="67"/>
      <c r="F243" s="67"/>
      <c r="G243" s="67"/>
      <c r="H243" s="67"/>
      <c r="I243" s="67"/>
      <c r="J243" s="267"/>
      <c r="K243" s="260"/>
    </row>
    <row r="244" spans="1:11" s="151" customFormat="1" ht="13.5" customHeight="1">
      <c r="A244" s="148"/>
      <c r="B244" s="149"/>
      <c r="C244" s="150"/>
      <c r="D244" s="150"/>
      <c r="E244" s="150"/>
      <c r="F244" s="150"/>
      <c r="G244" s="150"/>
      <c r="H244" s="150"/>
      <c r="I244" s="150"/>
      <c r="J244" s="150"/>
      <c r="K244" s="150"/>
    </row>
    <row r="245" spans="1:11" s="154" customFormat="1" ht="15.75">
      <c r="A245" s="152" t="s">
        <v>425</v>
      </c>
      <c r="B245" s="152"/>
      <c r="C245" s="152"/>
      <c r="D245" s="152"/>
      <c r="E245" s="152"/>
      <c r="F245" s="152"/>
      <c r="G245" s="152"/>
      <c r="H245" s="152"/>
      <c r="I245" s="152"/>
      <c r="J245" s="153"/>
      <c r="K245" s="153"/>
    </row>
  </sheetData>
  <sheetProtection selectLockedCells="1" selectUnlockedCells="1"/>
  <mergeCells count="48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O9"/>
    <mergeCell ref="P9:T9"/>
    <mergeCell ref="B11:K11"/>
    <mergeCell ref="A14:I14"/>
    <mergeCell ref="B15:K15"/>
    <mergeCell ref="A22:I22"/>
    <mergeCell ref="B23:K23"/>
    <mergeCell ref="A32:I32"/>
    <mergeCell ref="B33:K33"/>
    <mergeCell ref="A54:I54"/>
    <mergeCell ref="B55:K55"/>
    <mergeCell ref="A61:I61"/>
    <mergeCell ref="B62:K62"/>
    <mergeCell ref="A86:I86"/>
    <mergeCell ref="B87:K87"/>
    <mergeCell ref="A94:I94"/>
    <mergeCell ref="B95:K95"/>
    <mergeCell ref="A121:I121"/>
    <mergeCell ref="B122:K122"/>
    <mergeCell ref="A130:I130"/>
    <mergeCell ref="B131:K131"/>
    <mergeCell ref="A189:I189"/>
    <mergeCell ref="B190:K190"/>
    <mergeCell ref="A193:I193"/>
    <mergeCell ref="B194:K194"/>
    <mergeCell ref="A203:I203"/>
    <mergeCell ref="B204:K204"/>
    <mergeCell ref="A220:I220"/>
    <mergeCell ref="B221:K221"/>
    <mergeCell ref="A231:I231"/>
    <mergeCell ref="B232:K232"/>
    <mergeCell ref="A237:I237"/>
    <mergeCell ref="B238:K238"/>
    <mergeCell ref="A240:I240"/>
    <mergeCell ref="B241:K241"/>
    <mergeCell ref="A243:I243"/>
    <mergeCell ref="C244:K244"/>
    <mergeCell ref="A245:I245"/>
  </mergeCells>
  <printOptions/>
  <pageMargins left="0.5118055555555555" right="0.5118055555555555" top="0.7875" bottom="0.7875" header="0.5118055555555555" footer="0.31527777777777777"/>
  <pageSetup fitToHeight="10" fitToWidth="1" horizontalDpi="300" verticalDpi="300" orientation="landscape" paperSize="77"/>
  <headerFooter alignWithMargins="0">
    <oddFooter>&amp;L&amp;"Calibri,Regular"&amp;11CONVIVÊNCIA&amp;C&amp;"Calibri,Regular"&amp;11 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5"/>
  <sheetViews>
    <sheetView zoomScale="90" zoomScaleNormal="9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7.7109375" style="1" customWidth="1"/>
    <col min="2" max="2" width="12.421875" style="1" customWidth="1"/>
    <col min="3" max="3" width="70.28125" style="2" customWidth="1"/>
    <col min="4" max="4" width="10.140625" style="3" customWidth="1"/>
    <col min="5" max="5" width="11.8515625" style="4" customWidth="1"/>
    <col min="6" max="9" width="17.28125" style="2" customWidth="1"/>
    <col min="10" max="11" width="14.421875" style="2" customWidth="1"/>
    <col min="12" max="12" width="10.421875" style="2" customWidth="1"/>
    <col min="13" max="13" width="9.421875" style="2" customWidth="1"/>
    <col min="14" max="14" width="44.7109375" style="2" customWidth="1"/>
    <col min="15" max="18" width="9.421875" style="2" customWidth="1"/>
    <col min="19" max="19" width="14.140625" style="2" customWidth="1"/>
    <col min="20" max="16384" width="9.421875" style="2" customWidth="1"/>
  </cols>
  <sheetData>
    <row r="1" spans="1:11" s="6" customFormat="1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4:8" ht="14.25">
      <c r="D2" s="7"/>
      <c r="E2" s="8"/>
      <c r="F2" s="3"/>
      <c r="G2" s="3"/>
      <c r="H2" s="3"/>
    </row>
    <row r="3" spans="4:11" ht="18">
      <c r="D3" s="9" t="s">
        <v>809</v>
      </c>
      <c r="E3" s="10"/>
      <c r="F3" s="10"/>
      <c r="G3" s="10"/>
      <c r="H3" s="11"/>
      <c r="J3" s="12"/>
      <c r="K3" s="13"/>
    </row>
    <row r="4" spans="4:11" ht="14.25">
      <c r="D4" s="14" t="s">
        <v>2</v>
      </c>
      <c r="E4" s="15"/>
      <c r="F4" s="16"/>
      <c r="G4" s="16"/>
      <c r="H4" s="17"/>
      <c r="J4" s="18"/>
      <c r="K4" s="13"/>
    </row>
    <row r="5" spans="4:11" ht="14.25">
      <c r="D5" s="19" t="s">
        <v>810</v>
      </c>
      <c r="E5" s="19"/>
      <c r="F5" s="19"/>
      <c r="G5" s="19"/>
      <c r="H5" s="17"/>
      <c r="J5" s="18"/>
      <c r="K5" s="13"/>
    </row>
    <row r="6" spans="4:11" ht="14.25">
      <c r="D6" s="20" t="s">
        <v>811</v>
      </c>
      <c r="E6" s="20"/>
      <c r="F6" s="20"/>
      <c r="G6" s="20"/>
      <c r="H6" s="17"/>
      <c r="J6" s="18"/>
      <c r="K6" s="13"/>
    </row>
    <row r="7" spans="4:11" ht="14.25">
      <c r="D7" s="19" t="s">
        <v>5</v>
      </c>
      <c r="E7" s="19"/>
      <c r="F7" s="19"/>
      <c r="G7" s="19"/>
      <c r="H7" s="17"/>
      <c r="J7" s="18"/>
      <c r="K7" s="13"/>
    </row>
    <row r="8" spans="10:11" ht="14.25">
      <c r="J8" s="13"/>
      <c r="K8" s="13"/>
    </row>
    <row r="9" spans="1:20" s="6" customFormat="1" ht="15" customHeight="1">
      <c r="A9" s="21" t="s">
        <v>6</v>
      </c>
      <c r="B9" s="21" t="s">
        <v>7</v>
      </c>
      <c r="C9" s="21" t="s">
        <v>8</v>
      </c>
      <c r="D9" s="21" t="s">
        <v>9</v>
      </c>
      <c r="E9" s="22" t="s">
        <v>10</v>
      </c>
      <c r="F9" s="21" t="s">
        <v>11</v>
      </c>
      <c r="G9" s="21"/>
      <c r="H9" s="23" t="s">
        <v>12</v>
      </c>
      <c r="I9" s="23"/>
      <c r="J9" s="24" t="s">
        <v>13</v>
      </c>
      <c r="K9" s="25" t="s">
        <v>14</v>
      </c>
      <c r="L9" s="26"/>
      <c r="M9" s="26"/>
      <c r="N9" s="26"/>
      <c r="O9" s="26"/>
      <c r="P9" s="27"/>
      <c r="Q9" s="27"/>
      <c r="R9" s="27"/>
      <c r="S9" s="27"/>
      <c r="T9" s="27"/>
    </row>
    <row r="10" spans="1:20" ht="13.5">
      <c r="A10" s="21"/>
      <c r="B10" s="21"/>
      <c r="C10" s="21"/>
      <c r="D10" s="21"/>
      <c r="E10" s="22"/>
      <c r="F10" s="28" t="s">
        <v>15</v>
      </c>
      <c r="G10" s="29" t="s">
        <v>16</v>
      </c>
      <c r="H10" s="29" t="s">
        <v>15</v>
      </c>
      <c r="I10" s="29" t="s">
        <v>16</v>
      </c>
      <c r="J10" s="29" t="s">
        <v>17</v>
      </c>
      <c r="K10" s="31">
        <f>E4</f>
        <v>0</v>
      </c>
      <c r="L10" s="32"/>
      <c r="M10" s="33"/>
      <c r="N10" s="33"/>
      <c r="O10" s="33"/>
      <c r="P10" s="32"/>
      <c r="Q10" s="32"/>
      <c r="R10" s="33"/>
      <c r="S10" s="33"/>
      <c r="T10" s="32"/>
    </row>
    <row r="11" spans="1:20" ht="13.5">
      <c r="A11" s="34" t="s">
        <v>18</v>
      </c>
      <c r="B11" s="3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42" customFormat="1" ht="13.5">
      <c r="A12" s="37" t="s">
        <v>20</v>
      </c>
      <c r="B12" s="43">
        <v>73672</v>
      </c>
      <c r="C12" s="39" t="s">
        <v>25</v>
      </c>
      <c r="D12" s="40" t="s">
        <v>23</v>
      </c>
      <c r="E12" s="41">
        <v>642.1</v>
      </c>
      <c r="F12" s="41"/>
      <c r="G12" s="41"/>
      <c r="H12" s="41"/>
      <c r="I12" s="41"/>
      <c r="J12" s="41"/>
      <c r="K12" s="41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2" customFormat="1" ht="23.25">
      <c r="A13" s="37" t="s">
        <v>24</v>
      </c>
      <c r="B13" s="38" t="s">
        <v>42</v>
      </c>
      <c r="C13" s="44" t="s">
        <v>43</v>
      </c>
      <c r="D13" s="40" t="s">
        <v>23</v>
      </c>
      <c r="E13" s="41">
        <v>550.19</v>
      </c>
      <c r="F13" s="41"/>
      <c r="G13" s="41"/>
      <c r="H13" s="41"/>
      <c r="I13" s="41"/>
      <c r="J13" s="41"/>
      <c r="K13" s="41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3.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3"/>
      <c r="K14" s="54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3.5">
      <c r="A15" s="34" t="s">
        <v>65</v>
      </c>
      <c r="B15" s="35" t="s">
        <v>66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42" customFormat="1" ht="13.5">
      <c r="A16" s="56" t="s">
        <v>67</v>
      </c>
      <c r="B16" s="57" t="s">
        <v>68</v>
      </c>
      <c r="C16" s="58" t="s">
        <v>69</v>
      </c>
      <c r="D16" s="40" t="s">
        <v>346</v>
      </c>
      <c r="E16" s="41">
        <f>E12*2</f>
        <v>1284.2</v>
      </c>
      <c r="F16" s="41"/>
      <c r="G16" s="41"/>
      <c r="H16" s="41"/>
      <c r="I16" s="41"/>
      <c r="J16" s="41"/>
      <c r="K16" s="41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42" customFormat="1" ht="13.5">
      <c r="A17" s="56" t="s">
        <v>430</v>
      </c>
      <c r="B17" s="57" t="s">
        <v>428</v>
      </c>
      <c r="C17" s="58" t="s">
        <v>429</v>
      </c>
      <c r="D17" s="40" t="s">
        <v>23</v>
      </c>
      <c r="E17" s="41">
        <f>E13/2</f>
        <v>275.095</v>
      </c>
      <c r="F17" s="41"/>
      <c r="G17" s="41"/>
      <c r="H17" s="41"/>
      <c r="I17" s="41"/>
      <c r="J17" s="41"/>
      <c r="K17" s="41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42" customFormat="1" ht="13.5">
      <c r="A18" s="56" t="s">
        <v>70</v>
      </c>
      <c r="B18" s="174" t="s">
        <v>432</v>
      </c>
      <c r="C18" s="58" t="s">
        <v>433</v>
      </c>
      <c r="D18" s="40" t="s">
        <v>346</v>
      </c>
      <c r="E18" s="41">
        <v>135.68</v>
      </c>
      <c r="F18" s="41"/>
      <c r="G18" s="41"/>
      <c r="H18" s="41"/>
      <c r="I18" s="41"/>
      <c r="J18" s="41"/>
      <c r="K18" s="41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42" customFormat="1" ht="13.5">
      <c r="A19" s="56" t="s">
        <v>71</v>
      </c>
      <c r="B19" s="174" t="s">
        <v>434</v>
      </c>
      <c r="C19" s="58" t="s">
        <v>435</v>
      </c>
      <c r="D19" s="177" t="s">
        <v>23</v>
      </c>
      <c r="E19" s="41">
        <v>493.19</v>
      </c>
      <c r="F19" s="41"/>
      <c r="G19" s="41"/>
      <c r="H19" s="41"/>
      <c r="I19" s="41"/>
      <c r="J19" s="41"/>
      <c r="K19" s="41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42" customFormat="1" ht="23.25">
      <c r="A20" s="56" t="s">
        <v>72</v>
      </c>
      <c r="B20" s="174">
        <v>72915</v>
      </c>
      <c r="C20" s="58" t="s">
        <v>431</v>
      </c>
      <c r="D20" s="40" t="s">
        <v>346</v>
      </c>
      <c r="E20" s="41">
        <v>93.72</v>
      </c>
      <c r="F20" s="41"/>
      <c r="G20" s="41"/>
      <c r="H20" s="41"/>
      <c r="I20" s="41"/>
      <c r="J20" s="41"/>
      <c r="K20" s="41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173" customFormat="1" ht="14.25">
      <c r="A21" s="56" t="s">
        <v>73</v>
      </c>
      <c r="B21" s="174">
        <v>6430</v>
      </c>
      <c r="C21" s="58" t="s">
        <v>359</v>
      </c>
      <c r="D21" s="40" t="s">
        <v>346</v>
      </c>
      <c r="E21" s="41">
        <v>83.6</v>
      </c>
      <c r="F21" s="41"/>
      <c r="G21" s="41"/>
      <c r="H21" s="41"/>
      <c r="I21" s="41"/>
      <c r="J21" s="41"/>
      <c r="K21" s="41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4.25">
      <c r="A22" s="67" t="s">
        <v>80</v>
      </c>
      <c r="B22" s="67"/>
      <c r="C22" s="67"/>
      <c r="D22" s="67"/>
      <c r="E22" s="67"/>
      <c r="F22" s="67"/>
      <c r="G22" s="67"/>
      <c r="H22" s="67"/>
      <c r="I22" s="67"/>
      <c r="J22" s="53"/>
      <c r="K22" s="260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3.5">
      <c r="A23" s="34" t="s">
        <v>81</v>
      </c>
      <c r="B23" s="35" t="s">
        <v>82</v>
      </c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42" customFormat="1" ht="13.5">
      <c r="A24" s="37" t="s">
        <v>83</v>
      </c>
      <c r="B24" s="37"/>
      <c r="C24" s="176" t="s">
        <v>436</v>
      </c>
      <c r="D24" s="177" t="s">
        <v>23</v>
      </c>
      <c r="E24" s="178">
        <v>354.3</v>
      </c>
      <c r="F24" s="178"/>
      <c r="G24" s="178"/>
      <c r="H24" s="178"/>
      <c r="I24" s="178"/>
      <c r="J24" s="178"/>
      <c r="K24" s="178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42" customFormat="1" ht="13.5">
      <c r="A25" s="37" t="s">
        <v>84</v>
      </c>
      <c r="B25" s="37" t="s">
        <v>437</v>
      </c>
      <c r="C25" s="176" t="s">
        <v>438</v>
      </c>
      <c r="D25" s="177" t="s">
        <v>346</v>
      </c>
      <c r="E25" s="178">
        <v>18.3</v>
      </c>
      <c r="F25" s="178"/>
      <c r="G25" s="178"/>
      <c r="H25" s="178"/>
      <c r="I25" s="178"/>
      <c r="J25" s="178"/>
      <c r="K25" s="178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2" customFormat="1" ht="13.5">
      <c r="A26" s="37" t="s">
        <v>85</v>
      </c>
      <c r="B26" s="37" t="s">
        <v>439</v>
      </c>
      <c r="C26" s="176" t="s">
        <v>440</v>
      </c>
      <c r="D26" s="177" t="s">
        <v>346</v>
      </c>
      <c r="E26" s="178">
        <v>18.3</v>
      </c>
      <c r="F26" s="178"/>
      <c r="G26" s="178"/>
      <c r="H26" s="178"/>
      <c r="I26" s="178"/>
      <c r="J26" s="178"/>
      <c r="K26" s="178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13.5">
      <c r="A27" s="37" t="s">
        <v>86</v>
      </c>
      <c r="B27" s="37"/>
      <c r="C27" s="176" t="s">
        <v>441</v>
      </c>
      <c r="D27" s="177" t="s">
        <v>346</v>
      </c>
      <c r="E27" s="178">
        <v>4.26</v>
      </c>
      <c r="F27" s="178"/>
      <c r="G27" s="178"/>
      <c r="H27" s="178"/>
      <c r="I27" s="178"/>
      <c r="J27" s="178"/>
      <c r="K27" s="178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42" customFormat="1" ht="13.5">
      <c r="A28" s="37" t="s">
        <v>87</v>
      </c>
      <c r="B28" s="37"/>
      <c r="C28" s="176" t="s">
        <v>442</v>
      </c>
      <c r="D28" s="177" t="s">
        <v>346</v>
      </c>
      <c r="E28" s="178">
        <v>34.52</v>
      </c>
      <c r="F28" s="178"/>
      <c r="G28" s="178"/>
      <c r="H28" s="178"/>
      <c r="I28" s="178"/>
      <c r="J28" s="178"/>
      <c r="K28" s="178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42" customFormat="1" ht="13.5">
      <c r="A29" s="37" t="s">
        <v>88</v>
      </c>
      <c r="B29" s="37" t="s">
        <v>439</v>
      </c>
      <c r="C29" s="176" t="s">
        <v>443</v>
      </c>
      <c r="D29" s="177" t="s">
        <v>346</v>
      </c>
      <c r="E29" s="178">
        <v>34.52</v>
      </c>
      <c r="F29" s="178"/>
      <c r="G29" s="178"/>
      <c r="H29" s="178"/>
      <c r="I29" s="178"/>
      <c r="J29" s="178"/>
      <c r="K29" s="178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42" customFormat="1" ht="13.5">
      <c r="A30" s="37" t="s">
        <v>89</v>
      </c>
      <c r="B30" s="37"/>
      <c r="C30" s="176" t="s">
        <v>444</v>
      </c>
      <c r="D30" s="177" t="s">
        <v>23</v>
      </c>
      <c r="E30" s="178">
        <v>55.6</v>
      </c>
      <c r="F30" s="178"/>
      <c r="G30" s="178"/>
      <c r="H30" s="178"/>
      <c r="I30" s="178"/>
      <c r="J30" s="178"/>
      <c r="K30" s="178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42" customFormat="1" ht="23.25">
      <c r="A31" s="37" t="s">
        <v>90</v>
      </c>
      <c r="B31" s="179" t="s">
        <v>445</v>
      </c>
      <c r="C31" s="180" t="s">
        <v>446</v>
      </c>
      <c r="D31" s="177" t="s">
        <v>447</v>
      </c>
      <c r="E31" s="178">
        <v>614.3</v>
      </c>
      <c r="F31" s="178"/>
      <c r="G31" s="178"/>
      <c r="H31" s="178"/>
      <c r="I31" s="178"/>
      <c r="J31" s="178"/>
      <c r="K31" s="178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3.5">
      <c r="A32" s="67" t="s">
        <v>93</v>
      </c>
      <c r="B32" s="67"/>
      <c r="C32" s="67"/>
      <c r="D32" s="67"/>
      <c r="E32" s="67"/>
      <c r="F32" s="67"/>
      <c r="G32" s="67"/>
      <c r="H32" s="67"/>
      <c r="I32" s="67"/>
      <c r="J32" s="53"/>
      <c r="K32" s="53"/>
      <c r="L32" s="68"/>
      <c r="M32" s="36"/>
      <c r="N32" s="36"/>
      <c r="O32" s="36"/>
      <c r="P32" s="36"/>
      <c r="Q32" s="36"/>
      <c r="R32" s="36"/>
      <c r="S32" s="36"/>
      <c r="T32" s="36"/>
    </row>
    <row r="33" spans="1:22" s="73" customFormat="1" ht="13.5">
      <c r="A33" s="69" t="s">
        <v>94</v>
      </c>
      <c r="B33" s="70" t="s">
        <v>95</v>
      </c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s="261" customFormat="1" ht="14.25">
      <c r="A34" s="182" t="s">
        <v>96</v>
      </c>
      <c r="B34" s="182"/>
      <c r="C34" s="183" t="s">
        <v>448</v>
      </c>
      <c r="D34" s="184" t="s">
        <v>346</v>
      </c>
      <c r="E34" s="185">
        <v>3.9</v>
      </c>
      <c r="F34" s="186"/>
      <c r="G34" s="186"/>
      <c r="H34" s="186"/>
      <c r="I34" s="186"/>
      <c r="J34" s="186"/>
      <c r="K34" s="185"/>
      <c r="L34" s="187"/>
      <c r="M34" s="188"/>
      <c r="N34" s="188"/>
      <c r="O34" s="188"/>
      <c r="P34" s="188"/>
      <c r="Q34" s="188"/>
      <c r="R34" s="188"/>
      <c r="S34" s="188"/>
      <c r="T34" s="188"/>
      <c r="U34" s="188"/>
      <c r="V34" s="188"/>
    </row>
    <row r="35" spans="1:22" s="261" customFormat="1" ht="14.25">
      <c r="A35" s="182" t="s">
        <v>97</v>
      </c>
      <c r="B35" s="182"/>
      <c r="C35" s="183" t="s">
        <v>812</v>
      </c>
      <c r="D35" s="184" t="s">
        <v>23</v>
      </c>
      <c r="E35" s="185">
        <f>E172</f>
        <v>306.19000000000005</v>
      </c>
      <c r="F35" s="186"/>
      <c r="G35" s="186"/>
      <c r="H35" s="186"/>
      <c r="I35" s="186"/>
      <c r="J35" s="186"/>
      <c r="K35" s="185"/>
      <c r="L35" s="187"/>
      <c r="M35" s="188"/>
      <c r="N35" s="188"/>
      <c r="O35" s="188"/>
      <c r="P35" s="188"/>
      <c r="Q35" s="188"/>
      <c r="R35" s="188"/>
      <c r="S35" s="188"/>
      <c r="T35" s="188"/>
      <c r="U35" s="188"/>
      <c r="V35" s="188"/>
    </row>
    <row r="36" spans="1:22" s="261" customFormat="1" ht="23.25">
      <c r="A36" s="182" t="s">
        <v>98</v>
      </c>
      <c r="B36" s="182"/>
      <c r="C36" s="190" t="s">
        <v>449</v>
      </c>
      <c r="D36" s="184" t="s">
        <v>23</v>
      </c>
      <c r="E36" s="185">
        <v>181.1</v>
      </c>
      <c r="F36" s="186"/>
      <c r="G36" s="186"/>
      <c r="H36" s="186"/>
      <c r="I36" s="186"/>
      <c r="J36" s="191"/>
      <c r="K36" s="192"/>
      <c r="L36" s="187"/>
      <c r="M36" s="188"/>
      <c r="N36" s="188"/>
      <c r="O36" s="188"/>
      <c r="P36" s="188"/>
      <c r="Q36" s="188"/>
      <c r="R36" s="188"/>
      <c r="S36" s="188"/>
      <c r="T36" s="188"/>
      <c r="U36" s="188"/>
      <c r="V36" s="188"/>
    </row>
    <row r="37" spans="1:22" s="78" customFormat="1" ht="23.25">
      <c r="A37" s="182" t="s">
        <v>99</v>
      </c>
      <c r="B37" s="182"/>
      <c r="C37" s="190" t="s">
        <v>450</v>
      </c>
      <c r="D37" s="184" t="s">
        <v>23</v>
      </c>
      <c r="E37" s="185">
        <v>555.6</v>
      </c>
      <c r="F37" s="186"/>
      <c r="G37" s="186"/>
      <c r="H37" s="186"/>
      <c r="I37" s="186"/>
      <c r="J37" s="191"/>
      <c r="K37" s="192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s="78" customFormat="1" ht="13.5">
      <c r="A38" s="182" t="s">
        <v>100</v>
      </c>
      <c r="B38" s="37" t="s">
        <v>437</v>
      </c>
      <c r="C38" s="183" t="s">
        <v>451</v>
      </c>
      <c r="D38" s="184" t="s">
        <v>346</v>
      </c>
      <c r="E38" s="185">
        <v>20.3</v>
      </c>
      <c r="F38" s="186"/>
      <c r="G38" s="186"/>
      <c r="H38" s="186"/>
      <c r="I38" s="186"/>
      <c r="J38" s="191"/>
      <c r="K38" s="192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2" s="78" customFormat="1" ht="13.5">
      <c r="A39" s="182" t="s">
        <v>101</v>
      </c>
      <c r="B39" s="37"/>
      <c r="C39" s="183" t="s">
        <v>813</v>
      </c>
      <c r="D39" s="184" t="s">
        <v>346</v>
      </c>
      <c r="E39" s="185">
        <v>14.4</v>
      </c>
      <c r="F39" s="186"/>
      <c r="G39" s="186"/>
      <c r="H39" s="186"/>
      <c r="I39" s="186"/>
      <c r="J39" s="191"/>
      <c r="K39" s="192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2" s="78" customFormat="1" ht="13.5">
      <c r="A40" s="182" t="s">
        <v>102</v>
      </c>
      <c r="B40" s="182" t="s">
        <v>452</v>
      </c>
      <c r="C40" s="183" t="s">
        <v>453</v>
      </c>
      <c r="D40" s="184" t="s">
        <v>346</v>
      </c>
      <c r="E40" s="185">
        <v>14.4</v>
      </c>
      <c r="F40" s="186"/>
      <c r="G40" s="186"/>
      <c r="H40" s="186"/>
      <c r="I40" s="186"/>
      <c r="J40" s="191"/>
      <c r="K40" s="192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s="78" customFormat="1" ht="13.5">
      <c r="A41" s="182" t="s">
        <v>103</v>
      </c>
      <c r="B41" s="37" t="s">
        <v>437</v>
      </c>
      <c r="C41" s="183" t="s">
        <v>454</v>
      </c>
      <c r="D41" s="184" t="s">
        <v>346</v>
      </c>
      <c r="E41" s="185">
        <v>4.4</v>
      </c>
      <c r="F41" s="186"/>
      <c r="G41" s="186"/>
      <c r="H41" s="186"/>
      <c r="I41" s="186"/>
      <c r="J41" s="191"/>
      <c r="K41" s="192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s="78" customFormat="1" ht="13.5">
      <c r="A42" s="182" t="s">
        <v>104</v>
      </c>
      <c r="B42" s="37"/>
      <c r="C42" s="183" t="s">
        <v>814</v>
      </c>
      <c r="D42" s="184" t="s">
        <v>346</v>
      </c>
      <c r="E42" s="185">
        <v>6</v>
      </c>
      <c r="F42" s="186"/>
      <c r="G42" s="186"/>
      <c r="H42" s="186"/>
      <c r="I42" s="186"/>
      <c r="J42" s="191"/>
      <c r="K42" s="192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s="78" customFormat="1" ht="13.5">
      <c r="A43" s="182" t="s">
        <v>105</v>
      </c>
      <c r="B43" s="182" t="s">
        <v>452</v>
      </c>
      <c r="C43" s="183" t="s">
        <v>455</v>
      </c>
      <c r="D43" s="184" t="s">
        <v>346</v>
      </c>
      <c r="E43" s="185">
        <v>6</v>
      </c>
      <c r="F43" s="186"/>
      <c r="G43" s="186"/>
      <c r="H43" s="186"/>
      <c r="I43" s="186"/>
      <c r="J43" s="191"/>
      <c r="K43" s="192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s="78" customFormat="1" ht="23.25">
      <c r="A44" s="182" t="s">
        <v>460</v>
      </c>
      <c r="B44" s="179" t="s">
        <v>445</v>
      </c>
      <c r="C44" s="183" t="s">
        <v>456</v>
      </c>
      <c r="D44" s="184" t="s">
        <v>447</v>
      </c>
      <c r="E44" s="185">
        <v>954.4</v>
      </c>
      <c r="F44" s="186"/>
      <c r="G44" s="186"/>
      <c r="H44" s="186"/>
      <c r="I44" s="186"/>
      <c r="J44" s="191"/>
      <c r="K44" s="192"/>
      <c r="L44" s="71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s="78" customFormat="1" ht="13.5">
      <c r="A45" s="182" t="s">
        <v>462</v>
      </c>
      <c r="B45" s="37" t="s">
        <v>457</v>
      </c>
      <c r="C45" s="183" t="s">
        <v>458</v>
      </c>
      <c r="D45" s="184" t="s">
        <v>447</v>
      </c>
      <c r="E45" s="185">
        <v>256.6</v>
      </c>
      <c r="F45" s="186"/>
      <c r="G45" s="186"/>
      <c r="H45" s="186"/>
      <c r="I45" s="186"/>
      <c r="J45" s="191"/>
      <c r="K45" s="192"/>
      <c r="L45" s="71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2" s="78" customFormat="1" ht="23.25">
      <c r="A46" s="182" t="s">
        <v>705</v>
      </c>
      <c r="B46" s="179" t="s">
        <v>445</v>
      </c>
      <c r="C46" s="183" t="s">
        <v>459</v>
      </c>
      <c r="D46" s="184" t="s">
        <v>447</v>
      </c>
      <c r="E46" s="185">
        <v>1715.1</v>
      </c>
      <c r="F46" s="186"/>
      <c r="G46" s="186"/>
      <c r="H46" s="186"/>
      <c r="I46" s="186"/>
      <c r="J46" s="191"/>
      <c r="K46" s="192"/>
      <c r="L46" s="71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s="78" customFormat="1" ht="13.5">
      <c r="A47" s="182" t="s">
        <v>464</v>
      </c>
      <c r="B47" s="37" t="s">
        <v>457</v>
      </c>
      <c r="C47" s="183" t="s">
        <v>461</v>
      </c>
      <c r="D47" s="184" t="s">
        <v>447</v>
      </c>
      <c r="E47" s="185">
        <v>561.4</v>
      </c>
      <c r="F47" s="186"/>
      <c r="G47" s="186"/>
      <c r="H47" s="186"/>
      <c r="I47" s="186"/>
      <c r="J47" s="191"/>
      <c r="K47" s="192"/>
      <c r="L47" s="71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2" s="78" customFormat="1" ht="13.5">
      <c r="A48" s="182" t="s">
        <v>707</v>
      </c>
      <c r="B48" s="37" t="s">
        <v>437</v>
      </c>
      <c r="C48" s="183" t="s">
        <v>815</v>
      </c>
      <c r="D48" s="184" t="s">
        <v>346</v>
      </c>
      <c r="E48" s="185">
        <v>37.5</v>
      </c>
      <c r="F48" s="186"/>
      <c r="G48" s="186"/>
      <c r="H48" s="186"/>
      <c r="I48" s="186"/>
      <c r="J48" s="191"/>
      <c r="K48" s="192"/>
      <c r="L48" s="71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s="78" customFormat="1" ht="13.5">
      <c r="A49" s="182" t="s">
        <v>466</v>
      </c>
      <c r="B49" s="182" t="s">
        <v>452</v>
      </c>
      <c r="C49" s="183" t="s">
        <v>469</v>
      </c>
      <c r="D49" s="184" t="s">
        <v>346</v>
      </c>
      <c r="E49" s="185">
        <v>37.5</v>
      </c>
      <c r="F49" s="186"/>
      <c r="G49" s="186"/>
      <c r="H49" s="186"/>
      <c r="I49" s="186"/>
      <c r="J49" s="191"/>
      <c r="K49" s="192"/>
      <c r="L49" s="71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s="78" customFormat="1" ht="23.25">
      <c r="A50" s="182" t="s">
        <v>468</v>
      </c>
      <c r="B50" s="182"/>
      <c r="C50" s="190" t="s">
        <v>816</v>
      </c>
      <c r="D50" s="184" t="s">
        <v>23</v>
      </c>
      <c r="E50" s="185">
        <v>288.7</v>
      </c>
      <c r="F50" s="186"/>
      <c r="G50" s="186"/>
      <c r="H50" s="186"/>
      <c r="I50" s="186"/>
      <c r="J50" s="191"/>
      <c r="K50" s="192"/>
      <c r="L50" s="71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s="78" customFormat="1" ht="23.25">
      <c r="A51" s="182" t="s">
        <v>709</v>
      </c>
      <c r="B51" s="179" t="s">
        <v>445</v>
      </c>
      <c r="C51" s="183" t="s">
        <v>817</v>
      </c>
      <c r="D51" s="184" t="s">
        <v>447</v>
      </c>
      <c r="E51" s="185">
        <v>1927.2</v>
      </c>
      <c r="F51" s="186"/>
      <c r="G51" s="186"/>
      <c r="H51" s="186"/>
      <c r="I51" s="186"/>
      <c r="J51" s="191"/>
      <c r="K51" s="192"/>
      <c r="L51" s="71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s="78" customFormat="1" ht="13.5">
      <c r="A52" s="182" t="s">
        <v>711</v>
      </c>
      <c r="B52" s="37" t="s">
        <v>457</v>
      </c>
      <c r="C52" s="183" t="s">
        <v>818</v>
      </c>
      <c r="D52" s="184" t="s">
        <v>447</v>
      </c>
      <c r="E52" s="185">
        <v>18.2</v>
      </c>
      <c r="F52" s="186"/>
      <c r="G52" s="186"/>
      <c r="H52" s="186"/>
      <c r="I52" s="186"/>
      <c r="J52" s="191"/>
      <c r="K52" s="192"/>
      <c r="L52" s="71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s="73" customFormat="1" ht="13.5">
      <c r="A53" s="79" t="s">
        <v>106</v>
      </c>
      <c r="B53" s="79"/>
      <c r="C53" s="79"/>
      <c r="D53" s="79"/>
      <c r="E53" s="79"/>
      <c r="F53" s="79"/>
      <c r="G53" s="79"/>
      <c r="H53" s="79"/>
      <c r="I53" s="79"/>
      <c r="J53" s="53"/>
      <c r="K53" s="53"/>
      <c r="L53" s="80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s="78" customFormat="1" ht="13.5">
      <c r="A54" s="74" t="s">
        <v>107</v>
      </c>
      <c r="B54" s="81" t="s">
        <v>108</v>
      </c>
      <c r="C54" s="81"/>
      <c r="D54" s="81"/>
      <c r="E54" s="81"/>
      <c r="F54" s="81"/>
      <c r="G54" s="81"/>
      <c r="H54" s="81"/>
      <c r="I54" s="81"/>
      <c r="J54" s="81"/>
      <c r="K54" s="81"/>
      <c r="L54" s="71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0" s="42" customFormat="1" ht="23.25">
      <c r="A55" s="37" t="s">
        <v>109</v>
      </c>
      <c r="B55" s="38" t="s">
        <v>470</v>
      </c>
      <c r="C55" s="44" t="s">
        <v>471</v>
      </c>
      <c r="D55" s="40" t="s">
        <v>23</v>
      </c>
      <c r="E55" s="39">
        <f>(12*5.65*1.4)+(16*5.3*1.4)+(4*0.8*1.4)+(2*7.6*2.85)+(6*1.75*2.85)+(1*3)+(0.5*2.5)+(2*2.95*1.2)+(3.2*2.85)+(8*0.65)+(2*0.85*8.7)+(2*1.45*20)+(2*0.85*10.65)+(1.98*6)</f>
        <v>419.79</v>
      </c>
      <c r="F55" s="41"/>
      <c r="G55" s="41"/>
      <c r="H55" s="41"/>
      <c r="I55" s="41"/>
      <c r="J55" s="41"/>
      <c r="K55" s="77"/>
      <c r="L55" s="68"/>
      <c r="M55" s="36"/>
      <c r="N55" s="36"/>
      <c r="O55" s="36"/>
      <c r="P55" s="36"/>
      <c r="Q55" s="36"/>
      <c r="R55" s="36"/>
      <c r="S55" s="36"/>
      <c r="T55" s="36"/>
    </row>
    <row r="56" spans="1:20" s="42" customFormat="1" ht="23.25">
      <c r="A56" s="37" t="s">
        <v>110</v>
      </c>
      <c r="B56" s="38" t="s">
        <v>472</v>
      </c>
      <c r="C56" s="44" t="s">
        <v>473</v>
      </c>
      <c r="D56" s="40" t="s">
        <v>23</v>
      </c>
      <c r="E56" s="39">
        <f>(2*47.3*2.85)+(4*5.65*1.6)+(2*1.95*1.6)+(3*1.4)</f>
        <v>316.21000000000004</v>
      </c>
      <c r="F56" s="41"/>
      <c r="G56" s="41"/>
      <c r="H56" s="41"/>
      <c r="I56" s="41"/>
      <c r="J56" s="41"/>
      <c r="K56" s="41"/>
      <c r="L56" s="36"/>
      <c r="M56" s="36"/>
      <c r="N56" s="36"/>
      <c r="O56" s="36"/>
      <c r="P56" s="36"/>
      <c r="Q56" s="36"/>
      <c r="R56" s="36"/>
      <c r="S56" s="36"/>
      <c r="T56" s="36"/>
    </row>
    <row r="57" spans="1:20" s="42" customFormat="1" ht="23.25">
      <c r="A57" s="37" t="s">
        <v>111</v>
      </c>
      <c r="B57" s="120">
        <v>72131</v>
      </c>
      <c r="C57" s="44" t="s">
        <v>474</v>
      </c>
      <c r="D57" s="40" t="s">
        <v>23</v>
      </c>
      <c r="E57" s="41">
        <f>2*0.9</f>
        <v>1.8</v>
      </c>
      <c r="F57" s="41"/>
      <c r="G57" s="41"/>
      <c r="H57" s="41"/>
      <c r="I57" s="41"/>
      <c r="J57" s="41"/>
      <c r="K57" s="41"/>
      <c r="L57" s="36"/>
      <c r="M57" s="36"/>
      <c r="N57" s="36"/>
      <c r="O57" s="36"/>
      <c r="P57" s="36"/>
      <c r="Q57" s="36"/>
      <c r="R57" s="36"/>
      <c r="S57" s="36"/>
      <c r="T57" s="36"/>
    </row>
    <row r="58" spans="1:20" s="42" customFormat="1" ht="13.5">
      <c r="A58" s="37" t="s">
        <v>112</v>
      </c>
      <c r="B58" s="38" t="s">
        <v>819</v>
      </c>
      <c r="C58" s="44" t="s">
        <v>820</v>
      </c>
      <c r="D58" s="40" t="s">
        <v>189</v>
      </c>
      <c r="E58" s="41">
        <f>2.5*16</f>
        <v>40</v>
      </c>
      <c r="F58" s="41"/>
      <c r="G58" s="41"/>
      <c r="H58" s="41"/>
      <c r="I58" s="41"/>
      <c r="J58" s="41"/>
      <c r="K58" s="41"/>
      <c r="L58" s="36"/>
      <c r="M58" s="36"/>
      <c r="N58" s="36"/>
      <c r="O58" s="36"/>
      <c r="P58" s="36"/>
      <c r="Q58" s="36"/>
      <c r="R58" s="36"/>
      <c r="S58" s="36"/>
      <c r="T58" s="36"/>
    </row>
    <row r="59" spans="1:20" s="42" customFormat="1" ht="23.25">
      <c r="A59" s="37" t="s">
        <v>113</v>
      </c>
      <c r="B59" s="38" t="s">
        <v>475</v>
      </c>
      <c r="C59" s="44" t="s">
        <v>476</v>
      </c>
      <c r="D59" s="40" t="s">
        <v>346</v>
      </c>
      <c r="E59" s="41">
        <f>0.2*0.1*((5*1.4)+(2*2.4)+1.3+(16*1.4)+(2*4.1)+(2*2*2.1)+(2*8*1.1)+(2*2*1.1))</f>
        <v>1.4820000000000004</v>
      </c>
      <c r="F59" s="41"/>
      <c r="G59" s="41"/>
      <c r="H59" s="41"/>
      <c r="I59" s="41"/>
      <c r="J59" s="41"/>
      <c r="K59" s="41"/>
      <c r="L59" s="36"/>
      <c r="M59" s="36"/>
      <c r="N59" s="36"/>
      <c r="O59" s="36"/>
      <c r="P59" s="36"/>
      <c r="Q59" s="36"/>
      <c r="R59" s="36"/>
      <c r="S59" s="36"/>
      <c r="T59" s="36"/>
    </row>
    <row r="60" spans="1:22" s="73" customFormat="1" ht="13.5">
      <c r="A60" s="79" t="s">
        <v>119</v>
      </c>
      <c r="B60" s="79"/>
      <c r="C60" s="79"/>
      <c r="D60" s="79"/>
      <c r="E60" s="79"/>
      <c r="F60" s="79"/>
      <c r="G60" s="79"/>
      <c r="H60" s="79"/>
      <c r="I60" s="79"/>
      <c r="J60" s="53"/>
      <c r="K60" s="53"/>
      <c r="L60" s="80"/>
      <c r="M60" s="72"/>
      <c r="N60" s="72"/>
      <c r="O60" s="72"/>
      <c r="P60" s="72"/>
      <c r="Q60" s="72"/>
      <c r="R60" s="72"/>
      <c r="S60" s="72"/>
      <c r="T60" s="72"/>
      <c r="U60" s="72"/>
      <c r="V60" s="72"/>
    </row>
    <row r="61" spans="1:20" s="42" customFormat="1" ht="15.75" customHeight="1">
      <c r="A61" s="34" t="s">
        <v>120</v>
      </c>
      <c r="B61" s="35" t="s">
        <v>121</v>
      </c>
      <c r="C61" s="35"/>
      <c r="D61" s="35"/>
      <c r="E61" s="35"/>
      <c r="F61" s="35"/>
      <c r="G61" s="35"/>
      <c r="H61" s="35"/>
      <c r="I61" s="35"/>
      <c r="J61" s="35"/>
      <c r="K61" s="35"/>
      <c r="L61" s="68"/>
      <c r="M61" s="36"/>
      <c r="N61" s="36"/>
      <c r="O61" s="36"/>
      <c r="P61" s="36"/>
      <c r="Q61" s="36"/>
      <c r="R61" s="36"/>
      <c r="S61" s="36"/>
      <c r="T61" s="36"/>
    </row>
    <row r="62" spans="1:20" s="42" customFormat="1" ht="15.75" customHeight="1">
      <c r="A62" s="82" t="s">
        <v>122</v>
      </c>
      <c r="B62" s="198" t="s">
        <v>482</v>
      </c>
      <c r="C62" s="39" t="s">
        <v>483</v>
      </c>
      <c r="D62" s="40" t="s">
        <v>23</v>
      </c>
      <c r="E62" s="83">
        <f>8.3*1.65</f>
        <v>13.695</v>
      </c>
      <c r="F62" s="83"/>
      <c r="G62" s="83"/>
      <c r="H62" s="83"/>
      <c r="I62" s="83"/>
      <c r="J62" s="83"/>
      <c r="K62" s="41"/>
      <c r="L62" s="36"/>
      <c r="M62" s="36"/>
      <c r="N62" s="36"/>
      <c r="O62" s="36"/>
      <c r="P62" s="36"/>
      <c r="Q62" s="36"/>
      <c r="R62" s="36"/>
      <c r="S62" s="36"/>
      <c r="T62" s="36"/>
    </row>
    <row r="63" spans="1:20" s="42" customFormat="1" ht="23.25">
      <c r="A63" s="82" t="s">
        <v>123</v>
      </c>
      <c r="B63" s="38" t="s">
        <v>492</v>
      </c>
      <c r="C63" s="44" t="s">
        <v>821</v>
      </c>
      <c r="D63" s="40" t="s">
        <v>391</v>
      </c>
      <c r="E63" s="295">
        <v>4</v>
      </c>
      <c r="F63" s="83"/>
      <c r="G63" s="83"/>
      <c r="H63" s="83"/>
      <c r="I63" s="83"/>
      <c r="J63" s="83"/>
      <c r="K63" s="41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42" customFormat="1" ht="13.5">
      <c r="A64" s="82" t="s">
        <v>124</v>
      </c>
      <c r="B64" s="75" t="s">
        <v>720</v>
      </c>
      <c r="C64" s="39" t="s">
        <v>721</v>
      </c>
      <c r="D64" s="40" t="s">
        <v>391</v>
      </c>
      <c r="E64" s="83">
        <v>1</v>
      </c>
      <c r="F64" s="83"/>
      <c r="G64" s="83"/>
      <c r="H64" s="83"/>
      <c r="I64" s="83"/>
      <c r="J64" s="83"/>
      <c r="K64" s="41"/>
      <c r="L64" s="36"/>
      <c r="M64" s="36"/>
      <c r="N64" s="36"/>
      <c r="O64" s="36"/>
      <c r="P64" s="36"/>
      <c r="Q64" s="36"/>
      <c r="R64" s="36"/>
      <c r="S64" s="36"/>
      <c r="T64" s="36"/>
    </row>
    <row r="65" spans="1:20" s="42" customFormat="1" ht="23.25">
      <c r="A65" s="82" t="s">
        <v>125</v>
      </c>
      <c r="B65" s="38" t="s">
        <v>490</v>
      </c>
      <c r="C65" s="44" t="s">
        <v>491</v>
      </c>
      <c r="D65" s="40" t="s">
        <v>391</v>
      </c>
      <c r="E65" s="83">
        <v>5</v>
      </c>
      <c r="F65" s="83"/>
      <c r="G65" s="83"/>
      <c r="H65" s="83"/>
      <c r="I65" s="83"/>
      <c r="J65" s="83"/>
      <c r="K65" s="41"/>
      <c r="L65" s="36"/>
      <c r="M65" s="36"/>
      <c r="N65" s="36"/>
      <c r="O65" s="36"/>
      <c r="P65" s="36"/>
      <c r="Q65" s="36"/>
      <c r="R65" s="36"/>
      <c r="S65" s="36"/>
      <c r="T65" s="36"/>
    </row>
    <row r="66" spans="1:20" s="42" customFormat="1" ht="13.5">
      <c r="A66" s="82" t="s">
        <v>126</v>
      </c>
      <c r="B66" s="38" t="s">
        <v>495</v>
      </c>
      <c r="C66" s="44" t="s">
        <v>496</v>
      </c>
      <c r="D66" s="40" t="s">
        <v>391</v>
      </c>
      <c r="E66" s="83">
        <v>2</v>
      </c>
      <c r="F66" s="83"/>
      <c r="G66" s="83"/>
      <c r="H66" s="83"/>
      <c r="I66" s="83"/>
      <c r="J66" s="83"/>
      <c r="K66" s="41"/>
      <c r="L66" s="36"/>
      <c r="M66" s="36"/>
      <c r="N66" s="36"/>
      <c r="O66" s="36"/>
      <c r="P66" s="36"/>
      <c r="Q66" s="36"/>
      <c r="R66" s="36"/>
      <c r="S66" s="36"/>
      <c r="T66" s="36"/>
    </row>
    <row r="67" spans="1:20" s="42" customFormat="1" ht="23.25">
      <c r="A67" s="82" t="s">
        <v>127</v>
      </c>
      <c r="B67" s="38" t="s">
        <v>725</v>
      </c>
      <c r="C67" s="44" t="s">
        <v>726</v>
      </c>
      <c r="D67" s="40" t="s">
        <v>391</v>
      </c>
      <c r="E67" s="83">
        <v>1</v>
      </c>
      <c r="F67" s="83"/>
      <c r="G67" s="83"/>
      <c r="H67" s="83"/>
      <c r="I67" s="83"/>
      <c r="J67" s="83"/>
      <c r="K67" s="41"/>
      <c r="L67" s="36"/>
      <c r="M67" s="36"/>
      <c r="N67" s="36"/>
      <c r="O67" s="36"/>
      <c r="P67" s="36"/>
      <c r="Q67" s="36"/>
      <c r="R67" s="36"/>
      <c r="S67" s="36"/>
      <c r="T67" s="36"/>
    </row>
    <row r="68" spans="1:20" s="42" customFormat="1" ht="23.25">
      <c r="A68" s="82" t="s">
        <v>128</v>
      </c>
      <c r="B68" s="38" t="s">
        <v>492</v>
      </c>
      <c r="C68" s="44" t="s">
        <v>822</v>
      </c>
      <c r="D68" s="40" t="s">
        <v>391</v>
      </c>
      <c r="E68" s="83">
        <v>20</v>
      </c>
      <c r="F68" s="83"/>
      <c r="G68" s="83"/>
      <c r="H68" s="83"/>
      <c r="I68" s="83"/>
      <c r="J68" s="83"/>
      <c r="K68" s="41"/>
      <c r="L68" s="36"/>
      <c r="M68" s="36"/>
      <c r="N68" s="36"/>
      <c r="O68" s="36"/>
      <c r="P68" s="36"/>
      <c r="Q68" s="36"/>
      <c r="R68" s="36"/>
      <c r="S68" s="36"/>
      <c r="T68" s="36"/>
    </row>
    <row r="69" spans="1:20" s="42" customFormat="1" ht="23.25">
      <c r="A69" s="82" t="s">
        <v>129</v>
      </c>
      <c r="B69" s="38" t="s">
        <v>486</v>
      </c>
      <c r="C69" s="44" t="s">
        <v>823</v>
      </c>
      <c r="D69" s="40" t="s">
        <v>391</v>
      </c>
      <c r="E69" s="83">
        <v>16</v>
      </c>
      <c r="F69" s="83"/>
      <c r="G69" s="83"/>
      <c r="H69" s="83"/>
      <c r="I69" s="83"/>
      <c r="J69" s="83"/>
      <c r="K69" s="41"/>
      <c r="L69" s="36"/>
      <c r="M69" s="36"/>
      <c r="N69" s="36"/>
      <c r="O69" s="36"/>
      <c r="P69" s="36"/>
      <c r="Q69" s="36"/>
      <c r="R69" s="36"/>
      <c r="S69" s="36"/>
      <c r="T69" s="36"/>
    </row>
    <row r="70" spans="1:20" s="42" customFormat="1" ht="23.25">
      <c r="A70" s="82" t="s">
        <v>130</v>
      </c>
      <c r="B70" s="38" t="s">
        <v>486</v>
      </c>
      <c r="C70" s="44" t="s">
        <v>824</v>
      </c>
      <c r="D70" s="40" t="s">
        <v>391</v>
      </c>
      <c r="E70" s="83">
        <v>8</v>
      </c>
      <c r="F70" s="83"/>
      <c r="G70" s="83"/>
      <c r="H70" s="83"/>
      <c r="I70" s="83"/>
      <c r="J70" s="83"/>
      <c r="K70" s="41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42" customFormat="1" ht="13.5">
      <c r="A71" s="82" t="s">
        <v>131</v>
      </c>
      <c r="B71" s="120" t="s">
        <v>506</v>
      </c>
      <c r="C71" s="44" t="s">
        <v>507</v>
      </c>
      <c r="D71" s="40" t="s">
        <v>391</v>
      </c>
      <c r="E71" s="83">
        <v>1</v>
      </c>
      <c r="F71" s="83"/>
      <c r="G71" s="83"/>
      <c r="H71" s="83"/>
      <c r="I71" s="83"/>
      <c r="J71" s="83"/>
      <c r="K71" s="41"/>
      <c r="L71" s="36"/>
      <c r="M71" s="36"/>
      <c r="N71" s="36"/>
      <c r="O71" s="36"/>
      <c r="P71" s="36"/>
      <c r="Q71" s="36"/>
      <c r="R71" s="36"/>
      <c r="S71" s="36"/>
      <c r="T71" s="36"/>
    </row>
    <row r="72" spans="1:20" s="42" customFormat="1" ht="13.5">
      <c r="A72" s="82" t="s">
        <v>497</v>
      </c>
      <c r="B72" s="38" t="s">
        <v>512</v>
      </c>
      <c r="C72" s="44" t="s">
        <v>825</v>
      </c>
      <c r="D72" s="40" t="s">
        <v>391</v>
      </c>
      <c r="E72" s="41">
        <v>2</v>
      </c>
      <c r="F72" s="83"/>
      <c r="G72" s="83"/>
      <c r="H72" s="83"/>
      <c r="I72" s="83"/>
      <c r="J72" s="83"/>
      <c r="K72" s="41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42" customFormat="1" ht="13.5">
      <c r="A73" s="82" t="s">
        <v>500</v>
      </c>
      <c r="B73" s="120" t="s">
        <v>506</v>
      </c>
      <c r="C73" s="44" t="s">
        <v>732</v>
      </c>
      <c r="D73" s="40" t="s">
        <v>391</v>
      </c>
      <c r="E73" s="41">
        <v>8</v>
      </c>
      <c r="F73" s="83"/>
      <c r="G73" s="83"/>
      <c r="H73" s="83"/>
      <c r="I73" s="83"/>
      <c r="J73" s="83"/>
      <c r="K73" s="41"/>
      <c r="L73" s="36"/>
      <c r="M73" s="36"/>
      <c r="N73" s="36"/>
      <c r="O73" s="36"/>
      <c r="P73" s="36"/>
      <c r="Q73" s="36"/>
      <c r="R73" s="36"/>
      <c r="S73" s="36"/>
      <c r="T73" s="36"/>
    </row>
    <row r="74" spans="1:20" s="42" customFormat="1" ht="13.5">
      <c r="A74" s="82" t="s">
        <v>503</v>
      </c>
      <c r="B74" s="120" t="s">
        <v>506</v>
      </c>
      <c r="C74" s="44" t="s">
        <v>734</v>
      </c>
      <c r="D74" s="40" t="s">
        <v>391</v>
      </c>
      <c r="E74" s="41">
        <v>2</v>
      </c>
      <c r="F74" s="83"/>
      <c r="G74" s="83"/>
      <c r="H74" s="83"/>
      <c r="I74" s="83"/>
      <c r="J74" s="83"/>
      <c r="K74" s="41"/>
      <c r="L74" s="36"/>
      <c r="M74" s="36"/>
      <c r="N74" s="36"/>
      <c r="O74" s="36"/>
      <c r="P74" s="36"/>
      <c r="Q74" s="36"/>
      <c r="R74" s="36"/>
      <c r="S74" s="36"/>
      <c r="T74" s="36"/>
    </row>
    <row r="75" spans="1:20" s="42" customFormat="1" ht="15.75" customHeight="1">
      <c r="A75" s="67" t="s">
        <v>132</v>
      </c>
      <c r="B75" s="67"/>
      <c r="C75" s="67"/>
      <c r="D75" s="67"/>
      <c r="E75" s="67"/>
      <c r="F75" s="67"/>
      <c r="G75" s="67"/>
      <c r="H75" s="67"/>
      <c r="I75" s="67"/>
      <c r="J75" s="267"/>
      <c r="K75" s="267"/>
      <c r="L75" s="68"/>
      <c r="M75" s="36"/>
      <c r="N75" s="36"/>
      <c r="O75" s="36"/>
      <c r="P75" s="36"/>
      <c r="Q75" s="36"/>
      <c r="R75" s="36"/>
      <c r="S75" s="36"/>
      <c r="T75" s="36"/>
    </row>
    <row r="76" spans="1:22" s="73" customFormat="1" ht="13.5">
      <c r="A76" s="69" t="s">
        <v>133</v>
      </c>
      <c r="B76" s="85" t="s">
        <v>134</v>
      </c>
      <c r="C76" s="85"/>
      <c r="D76" s="85"/>
      <c r="E76" s="85"/>
      <c r="F76" s="85"/>
      <c r="G76" s="85"/>
      <c r="H76" s="85"/>
      <c r="I76" s="85"/>
      <c r="J76" s="85"/>
      <c r="K76" s="85"/>
      <c r="L76" s="71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2" s="78" customFormat="1" ht="23.25">
      <c r="A77" s="74" t="s">
        <v>135</v>
      </c>
      <c r="B77" s="120" t="s">
        <v>517</v>
      </c>
      <c r="C77" s="47" t="s">
        <v>741</v>
      </c>
      <c r="D77" s="75" t="s">
        <v>23</v>
      </c>
      <c r="E77" s="41">
        <f>107.64+107.64+120.96</f>
        <v>336.24</v>
      </c>
      <c r="F77" s="41"/>
      <c r="G77" s="41"/>
      <c r="H77" s="41"/>
      <c r="I77" s="41"/>
      <c r="J77" s="77"/>
      <c r="K77" s="41"/>
      <c r="L77" s="71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1:22" s="78" customFormat="1" ht="23.25">
      <c r="A78" s="74" t="s">
        <v>136</v>
      </c>
      <c r="B78" s="120" t="s">
        <v>519</v>
      </c>
      <c r="C78" s="47" t="s">
        <v>520</v>
      </c>
      <c r="D78" s="75" t="s">
        <v>23</v>
      </c>
      <c r="E78" s="41">
        <f>E77*1.005</f>
        <v>337.9212</v>
      </c>
      <c r="F78" s="41"/>
      <c r="G78" s="41"/>
      <c r="H78" s="41"/>
      <c r="I78" s="41"/>
      <c r="J78" s="77"/>
      <c r="K78" s="41"/>
      <c r="L78" s="71"/>
      <c r="M78" s="72"/>
      <c r="N78" s="72"/>
      <c r="O78" s="72"/>
      <c r="P78" s="72"/>
      <c r="Q78" s="72"/>
      <c r="R78" s="72"/>
      <c r="S78" s="72"/>
      <c r="T78" s="72"/>
      <c r="U78" s="72"/>
      <c r="V78" s="72"/>
    </row>
    <row r="79" spans="1:22" s="78" customFormat="1" ht="13.5">
      <c r="A79" s="74" t="s">
        <v>137</v>
      </c>
      <c r="B79" s="120">
        <v>72104</v>
      </c>
      <c r="C79" s="47" t="s">
        <v>521</v>
      </c>
      <c r="D79" s="75" t="s">
        <v>189</v>
      </c>
      <c r="E79" s="50">
        <f>(8.7+8.7+20+20)*1.005</f>
        <v>57.68699999999999</v>
      </c>
      <c r="F79" s="41"/>
      <c r="G79" s="41"/>
      <c r="H79" s="41"/>
      <c r="I79" s="41"/>
      <c r="J79" s="77"/>
      <c r="K79" s="41"/>
      <c r="L79" s="71"/>
      <c r="M79" s="72"/>
      <c r="N79" s="72"/>
      <c r="O79" s="72"/>
      <c r="P79" s="72"/>
      <c r="Q79" s="72"/>
      <c r="R79" s="72"/>
      <c r="S79" s="72"/>
      <c r="T79" s="72"/>
      <c r="U79" s="72"/>
      <c r="V79" s="72"/>
    </row>
    <row r="80" spans="1:22" s="78" customFormat="1" ht="13.5">
      <c r="A80" s="74" t="s">
        <v>138</v>
      </c>
      <c r="B80" s="120">
        <v>72104</v>
      </c>
      <c r="C80" s="46" t="s">
        <v>523</v>
      </c>
      <c r="D80" s="75" t="s">
        <v>189</v>
      </c>
      <c r="E80" s="42">
        <v>26.9</v>
      </c>
      <c r="F80" s="41"/>
      <c r="G80" s="41"/>
      <c r="H80" s="41"/>
      <c r="I80" s="41"/>
      <c r="J80" s="77"/>
      <c r="K80" s="41"/>
      <c r="L80" s="71"/>
      <c r="M80" s="72"/>
      <c r="N80" s="72"/>
      <c r="O80" s="72"/>
      <c r="P80" s="72"/>
      <c r="Q80" s="72"/>
      <c r="R80" s="72"/>
      <c r="S80" s="72"/>
      <c r="T80" s="72"/>
      <c r="U80" s="72"/>
      <c r="V80" s="72"/>
    </row>
    <row r="81" spans="1:22" s="78" customFormat="1" ht="13.5">
      <c r="A81" s="74" t="s">
        <v>139</v>
      </c>
      <c r="B81" s="120">
        <v>72106</v>
      </c>
      <c r="C81" s="46" t="s">
        <v>522</v>
      </c>
      <c r="D81" s="75" t="s">
        <v>189</v>
      </c>
      <c r="E81" s="41">
        <f>((20*2)+(10.3*4))*1.005</f>
        <v>81.606</v>
      </c>
      <c r="F81" s="41"/>
      <c r="G81" s="41"/>
      <c r="H81" s="41"/>
      <c r="I81" s="41"/>
      <c r="J81" s="77"/>
      <c r="K81" s="41"/>
      <c r="L81" s="71"/>
      <c r="M81" s="72"/>
      <c r="N81" s="72"/>
      <c r="O81" s="72"/>
      <c r="P81" s="72"/>
      <c r="Q81" s="72"/>
      <c r="R81" s="72"/>
      <c r="S81" s="72"/>
      <c r="T81" s="72"/>
      <c r="U81" s="72"/>
      <c r="V81" s="72"/>
    </row>
    <row r="82" spans="1:22" s="73" customFormat="1" ht="14.25" customHeight="1">
      <c r="A82" s="79" t="s">
        <v>145</v>
      </c>
      <c r="B82" s="79"/>
      <c r="C82" s="79"/>
      <c r="D82" s="79"/>
      <c r="E82" s="79"/>
      <c r="F82" s="79"/>
      <c r="G82" s="79"/>
      <c r="H82" s="79"/>
      <c r="I82" s="79"/>
      <c r="J82" s="267"/>
      <c r="K82" s="267"/>
      <c r="L82" s="80"/>
      <c r="M82" s="72"/>
      <c r="N82" s="72"/>
      <c r="O82" s="72"/>
      <c r="P82" s="72"/>
      <c r="Q82" s="72"/>
      <c r="R82" s="72"/>
      <c r="S82" s="72"/>
      <c r="T82" s="72"/>
      <c r="U82" s="72"/>
      <c r="V82" s="72"/>
    </row>
    <row r="83" spans="1:20" s="42" customFormat="1" ht="13.5" customHeight="1">
      <c r="A83" s="37" t="s">
        <v>146</v>
      </c>
      <c r="B83" s="55" t="s">
        <v>147</v>
      </c>
      <c r="C83" s="55"/>
      <c r="D83" s="55"/>
      <c r="E83" s="55"/>
      <c r="F83" s="55"/>
      <c r="G83" s="55"/>
      <c r="H83" s="55"/>
      <c r="I83" s="55"/>
      <c r="J83" s="55"/>
      <c r="K83" s="55"/>
      <c r="L83" s="68"/>
      <c r="M83" s="36"/>
      <c r="N83" s="36"/>
      <c r="O83" s="36"/>
      <c r="P83" s="36"/>
      <c r="Q83" s="36"/>
      <c r="R83" s="36"/>
      <c r="S83" s="36"/>
      <c r="T83" s="36"/>
    </row>
    <row r="84" spans="1:20" s="91" customFormat="1" ht="14.25">
      <c r="A84" s="86" t="s">
        <v>148</v>
      </c>
      <c r="B84" s="202" t="s">
        <v>524</v>
      </c>
      <c r="C84" s="271" t="s">
        <v>525</v>
      </c>
      <c r="D84" s="272" t="s">
        <v>189</v>
      </c>
      <c r="E84" s="88">
        <v>581.18</v>
      </c>
      <c r="F84" s="271"/>
      <c r="G84" s="83"/>
      <c r="H84" s="271"/>
      <c r="I84" s="83"/>
      <c r="J84" s="83"/>
      <c r="K84" s="83"/>
      <c r="L84" s="90"/>
      <c r="M84" s="269"/>
      <c r="N84" s="270"/>
      <c r="O84" s="90"/>
      <c r="P84" s="90"/>
      <c r="Q84" s="90"/>
      <c r="R84" s="90"/>
      <c r="S84" s="90"/>
      <c r="T84" s="90"/>
    </row>
    <row r="85" spans="1:20" s="91" customFormat="1" ht="14.25">
      <c r="A85" s="86" t="s">
        <v>149</v>
      </c>
      <c r="B85" s="202" t="s">
        <v>526</v>
      </c>
      <c r="C85" s="230" t="s">
        <v>527</v>
      </c>
      <c r="D85" s="273" t="s">
        <v>189</v>
      </c>
      <c r="E85" s="93">
        <v>130.75</v>
      </c>
      <c r="F85" s="230"/>
      <c r="G85" s="41"/>
      <c r="H85" s="230"/>
      <c r="I85" s="41"/>
      <c r="J85" s="41"/>
      <c r="K85" s="83"/>
      <c r="L85" s="90"/>
      <c r="M85" s="269"/>
      <c r="N85" s="45"/>
      <c r="O85" s="90"/>
      <c r="P85" s="90"/>
      <c r="Q85" s="90"/>
      <c r="R85" s="90"/>
      <c r="S85" s="90"/>
      <c r="T85" s="90"/>
    </row>
    <row r="86" spans="1:20" s="91" customFormat="1" ht="14.25">
      <c r="A86" s="86" t="s">
        <v>150</v>
      </c>
      <c r="B86" s="202" t="s">
        <v>745</v>
      </c>
      <c r="C86" s="230" t="s">
        <v>746</v>
      </c>
      <c r="D86" s="273" t="s">
        <v>189</v>
      </c>
      <c r="E86" s="93">
        <v>94</v>
      </c>
      <c r="F86" s="230"/>
      <c r="G86" s="41"/>
      <c r="H86" s="230"/>
      <c r="I86" s="41"/>
      <c r="J86" s="41"/>
      <c r="K86" s="83"/>
      <c r="L86" s="90"/>
      <c r="M86" s="269"/>
      <c r="N86" s="45"/>
      <c r="O86" s="90"/>
      <c r="P86" s="90"/>
      <c r="Q86" s="90"/>
      <c r="R86" s="90"/>
      <c r="S86" s="90"/>
      <c r="T86" s="90"/>
    </row>
    <row r="87" spans="1:20" s="91" customFormat="1" ht="14.25">
      <c r="A87" s="86" t="s">
        <v>151</v>
      </c>
      <c r="B87" s="203"/>
      <c r="C87" s="230" t="s">
        <v>530</v>
      </c>
      <c r="D87" s="177" t="s">
        <v>391</v>
      </c>
      <c r="E87" s="41">
        <v>38</v>
      </c>
      <c r="F87" s="41"/>
      <c r="G87" s="41"/>
      <c r="H87" s="41"/>
      <c r="I87" s="41"/>
      <c r="J87" s="41"/>
      <c r="K87" s="83"/>
      <c r="L87" s="90"/>
      <c r="M87" s="274"/>
      <c r="N87" s="45"/>
      <c r="O87" s="90"/>
      <c r="P87" s="90"/>
      <c r="Q87" s="90"/>
      <c r="R87" s="90"/>
      <c r="S87" s="90"/>
      <c r="T87" s="90"/>
    </row>
    <row r="88" spans="1:20" s="91" customFormat="1" ht="14.25">
      <c r="A88" s="86" t="s">
        <v>152</v>
      </c>
      <c r="B88" s="203"/>
      <c r="C88" s="204" t="s">
        <v>531</v>
      </c>
      <c r="D88" s="177" t="s">
        <v>391</v>
      </c>
      <c r="E88" s="205">
        <v>45</v>
      </c>
      <c r="F88" s="41"/>
      <c r="G88" s="41"/>
      <c r="H88" s="206"/>
      <c r="I88" s="41"/>
      <c r="J88" s="41"/>
      <c r="K88" s="83"/>
      <c r="L88" s="90"/>
      <c r="M88" s="274"/>
      <c r="N88" s="275"/>
      <c r="O88" s="90"/>
      <c r="P88" s="90"/>
      <c r="Q88" s="90"/>
      <c r="R88" s="90"/>
      <c r="S88" s="90"/>
      <c r="T88" s="90"/>
    </row>
    <row r="89" spans="1:20" s="91" customFormat="1" ht="14.25">
      <c r="A89" s="86" t="s">
        <v>153</v>
      </c>
      <c r="B89" s="203"/>
      <c r="C89" s="230" t="s">
        <v>826</v>
      </c>
      <c r="D89" s="177" t="s">
        <v>189</v>
      </c>
      <c r="E89" s="41">
        <v>306.12</v>
      </c>
      <c r="F89" s="41"/>
      <c r="G89" s="41"/>
      <c r="H89" s="41"/>
      <c r="I89" s="41"/>
      <c r="J89" s="41"/>
      <c r="K89" s="83"/>
      <c r="L89" s="90"/>
      <c r="M89" s="276"/>
      <c r="N89" s="45"/>
      <c r="O89" s="90"/>
      <c r="P89" s="90"/>
      <c r="Q89" s="90"/>
      <c r="R89" s="90"/>
      <c r="S89" s="90"/>
      <c r="T89" s="90"/>
    </row>
    <row r="90" spans="1:20" s="91" customFormat="1" ht="14.25">
      <c r="A90" s="86" t="s">
        <v>154</v>
      </c>
      <c r="B90" s="203"/>
      <c r="C90" s="230" t="s">
        <v>534</v>
      </c>
      <c r="D90" s="177" t="s">
        <v>391</v>
      </c>
      <c r="E90" s="41">
        <v>10</v>
      </c>
      <c r="F90" s="41"/>
      <c r="G90" s="41"/>
      <c r="H90" s="41"/>
      <c r="I90" s="41"/>
      <c r="J90" s="41"/>
      <c r="K90" s="83"/>
      <c r="L90" s="90"/>
      <c r="M90" s="274"/>
      <c r="N90" s="45"/>
      <c r="O90" s="90"/>
      <c r="P90" s="90"/>
      <c r="Q90" s="90"/>
      <c r="R90" s="90"/>
      <c r="S90" s="90"/>
      <c r="T90" s="90"/>
    </row>
    <row r="91" spans="1:20" s="91" customFormat="1" ht="14.25">
      <c r="A91" s="86" t="s">
        <v>155</v>
      </c>
      <c r="B91" s="203"/>
      <c r="C91" s="230" t="s">
        <v>535</v>
      </c>
      <c r="D91" s="177" t="s">
        <v>391</v>
      </c>
      <c r="E91" s="41">
        <v>10</v>
      </c>
      <c r="F91" s="41"/>
      <c r="G91" s="41"/>
      <c r="H91" s="41"/>
      <c r="I91" s="41"/>
      <c r="J91" s="41"/>
      <c r="K91" s="83"/>
      <c r="L91" s="90"/>
      <c r="M91" s="269"/>
      <c r="N91" s="45"/>
      <c r="O91" s="90"/>
      <c r="P91" s="90"/>
      <c r="Q91" s="90"/>
      <c r="R91" s="90"/>
      <c r="S91" s="90"/>
      <c r="T91" s="90"/>
    </row>
    <row r="92" spans="1:20" s="197" customFormat="1" ht="14.25">
      <c r="A92" s="86" t="s">
        <v>157</v>
      </c>
      <c r="B92" s="203"/>
      <c r="C92" s="44" t="s">
        <v>536</v>
      </c>
      <c r="D92" s="40" t="s">
        <v>391</v>
      </c>
      <c r="E92" s="41">
        <v>1</v>
      </c>
      <c r="F92" s="41"/>
      <c r="G92" s="41"/>
      <c r="H92" s="41"/>
      <c r="I92" s="41"/>
      <c r="J92" s="41"/>
      <c r="K92" s="41"/>
      <c r="L92" s="90"/>
      <c r="M92" s="274"/>
      <c r="N92" s="45"/>
      <c r="O92" s="90"/>
      <c r="P92" s="90"/>
      <c r="Q92" s="90"/>
      <c r="R92" s="90"/>
      <c r="S92" s="90"/>
      <c r="T92" s="90"/>
    </row>
    <row r="93" spans="1:20" s="91" customFormat="1" ht="14.25">
      <c r="A93" s="86" t="s">
        <v>156</v>
      </c>
      <c r="B93" s="203"/>
      <c r="C93" s="230" t="s">
        <v>538</v>
      </c>
      <c r="D93" s="177" t="s">
        <v>391</v>
      </c>
      <c r="E93" s="41">
        <v>12</v>
      </c>
      <c r="F93" s="41"/>
      <c r="G93" s="41"/>
      <c r="H93" s="41"/>
      <c r="I93" s="41"/>
      <c r="J93" s="41"/>
      <c r="K93" s="83"/>
      <c r="L93" s="90"/>
      <c r="M93" s="274"/>
      <c r="N93" s="45"/>
      <c r="O93" s="90"/>
      <c r="P93" s="90"/>
      <c r="Q93" s="90"/>
      <c r="R93" s="90"/>
      <c r="S93" s="90"/>
      <c r="T93" s="90"/>
    </row>
    <row r="94" spans="1:20" s="91" customFormat="1" ht="14.25">
      <c r="A94" s="86" t="s">
        <v>157</v>
      </c>
      <c r="B94" s="203"/>
      <c r="C94" s="211" t="s">
        <v>542</v>
      </c>
      <c r="D94" s="177" t="s">
        <v>391</v>
      </c>
      <c r="E94" s="41">
        <v>21</v>
      </c>
      <c r="F94" s="211"/>
      <c r="G94" s="41"/>
      <c r="H94" s="41"/>
      <c r="I94" s="41"/>
      <c r="J94" s="41"/>
      <c r="K94" s="83"/>
      <c r="L94" s="90"/>
      <c r="M94" s="278"/>
      <c r="N94" s="45"/>
      <c r="O94" s="90"/>
      <c r="P94" s="90"/>
      <c r="Q94" s="90"/>
      <c r="R94" s="90"/>
      <c r="S94" s="90"/>
      <c r="T94" s="90"/>
    </row>
    <row r="95" spans="1:20" s="91" customFormat="1" ht="14.25">
      <c r="A95" s="86" t="s">
        <v>537</v>
      </c>
      <c r="B95" s="203"/>
      <c r="C95" s="211" t="s">
        <v>544</v>
      </c>
      <c r="D95" s="177" t="s">
        <v>391</v>
      </c>
      <c r="E95" s="41">
        <v>59</v>
      </c>
      <c r="F95" s="211"/>
      <c r="G95" s="41"/>
      <c r="H95" s="211"/>
      <c r="I95" s="41"/>
      <c r="J95" s="41"/>
      <c r="K95" s="83"/>
      <c r="L95" s="90"/>
      <c r="M95" s="278"/>
      <c r="N95" s="45"/>
      <c r="O95" s="90"/>
      <c r="P95" s="90"/>
      <c r="Q95" s="90"/>
      <c r="R95" s="90"/>
      <c r="S95" s="90"/>
      <c r="T95" s="90"/>
    </row>
    <row r="96" spans="1:20" s="91" customFormat="1" ht="14.25">
      <c r="A96" s="86" t="s">
        <v>539</v>
      </c>
      <c r="B96" s="214" t="s">
        <v>546</v>
      </c>
      <c r="C96" s="211" t="s">
        <v>547</v>
      </c>
      <c r="D96" s="177" t="s">
        <v>391</v>
      </c>
      <c r="E96" s="41">
        <v>7</v>
      </c>
      <c r="F96" s="41"/>
      <c r="G96" s="41"/>
      <c r="H96" s="211"/>
      <c r="I96" s="41"/>
      <c r="J96" s="41"/>
      <c r="K96" s="83"/>
      <c r="L96" s="90"/>
      <c r="M96" s="274"/>
      <c r="N96" s="228"/>
      <c r="O96" s="90"/>
      <c r="P96" s="90"/>
      <c r="Q96" s="90"/>
      <c r="R96" s="90"/>
      <c r="S96" s="90"/>
      <c r="T96" s="90"/>
    </row>
    <row r="97" spans="1:20" s="91" customFormat="1" ht="14.25">
      <c r="A97" s="86" t="s">
        <v>541</v>
      </c>
      <c r="B97" s="214" t="s">
        <v>546</v>
      </c>
      <c r="C97" s="211" t="s">
        <v>549</v>
      </c>
      <c r="D97" s="177" t="s">
        <v>391</v>
      </c>
      <c r="E97" s="41">
        <v>1</v>
      </c>
      <c r="F97" s="41"/>
      <c r="G97" s="41"/>
      <c r="H97" s="211"/>
      <c r="I97" s="41"/>
      <c r="J97" s="41"/>
      <c r="K97" s="83"/>
      <c r="L97" s="90"/>
      <c r="M97" s="274"/>
      <c r="N97" s="36"/>
      <c r="O97" s="90"/>
      <c r="P97" s="90"/>
      <c r="Q97" s="90"/>
      <c r="R97" s="90"/>
      <c r="S97" s="90"/>
      <c r="T97" s="90"/>
    </row>
    <row r="98" spans="1:20" s="197" customFormat="1" ht="14.25">
      <c r="A98" s="86" t="s">
        <v>751</v>
      </c>
      <c r="B98" s="214" t="s">
        <v>551</v>
      </c>
      <c r="C98" s="39" t="s">
        <v>552</v>
      </c>
      <c r="D98" s="40" t="s">
        <v>391</v>
      </c>
      <c r="E98" s="41">
        <v>1</v>
      </c>
      <c r="F98" s="41"/>
      <c r="G98" s="41"/>
      <c r="H98" s="39"/>
      <c r="I98" s="41"/>
      <c r="J98" s="41"/>
      <c r="K98" s="41"/>
      <c r="L98" s="90"/>
      <c r="M98" s="278"/>
      <c r="N98" s="36"/>
      <c r="O98" s="90"/>
      <c r="P98" s="90"/>
      <c r="Q98" s="90"/>
      <c r="R98" s="90"/>
      <c r="S98" s="90"/>
      <c r="T98" s="90"/>
    </row>
    <row r="99" spans="1:20" s="91" customFormat="1" ht="14.25">
      <c r="A99" s="86" t="s">
        <v>543</v>
      </c>
      <c r="B99" s="203"/>
      <c r="C99" s="211" t="s">
        <v>827</v>
      </c>
      <c r="D99" s="177" t="s">
        <v>391</v>
      </c>
      <c r="E99" s="41">
        <v>1</v>
      </c>
      <c r="F99" s="41"/>
      <c r="G99" s="41"/>
      <c r="H99" s="211"/>
      <c r="I99" s="41"/>
      <c r="J99" s="41"/>
      <c r="K99" s="83"/>
      <c r="L99" s="90"/>
      <c r="M99" s="278"/>
      <c r="N99" s="36"/>
      <c r="O99" s="90"/>
      <c r="P99" s="90"/>
      <c r="Q99" s="90"/>
      <c r="R99" s="90"/>
      <c r="S99" s="90"/>
      <c r="T99" s="90"/>
    </row>
    <row r="100" spans="1:20" s="91" customFormat="1" ht="14.25">
      <c r="A100" s="86" t="s">
        <v>545</v>
      </c>
      <c r="B100" s="203"/>
      <c r="C100" s="211" t="s">
        <v>556</v>
      </c>
      <c r="D100" s="177" t="s">
        <v>391</v>
      </c>
      <c r="E100" s="41">
        <v>5</v>
      </c>
      <c r="F100" s="41"/>
      <c r="G100" s="41"/>
      <c r="H100" s="211"/>
      <c r="I100" s="41"/>
      <c r="J100" s="41"/>
      <c r="K100" s="83"/>
      <c r="L100" s="90"/>
      <c r="M100" s="278"/>
      <c r="N100" s="36"/>
      <c r="O100" s="90"/>
      <c r="P100" s="90"/>
      <c r="Q100" s="90"/>
      <c r="R100" s="90"/>
      <c r="S100" s="90"/>
      <c r="T100" s="90"/>
    </row>
    <row r="101" spans="1:20" s="91" customFormat="1" ht="14.25">
      <c r="A101" s="86" t="s">
        <v>548</v>
      </c>
      <c r="B101" s="203"/>
      <c r="C101" s="211" t="s">
        <v>828</v>
      </c>
      <c r="D101" s="177" t="s">
        <v>391</v>
      </c>
      <c r="E101" s="41">
        <v>1</v>
      </c>
      <c r="F101" s="41"/>
      <c r="G101" s="41"/>
      <c r="H101" s="211"/>
      <c r="I101" s="41"/>
      <c r="J101" s="41"/>
      <c r="K101" s="83"/>
      <c r="L101" s="90"/>
      <c r="M101" s="278"/>
      <c r="N101" s="36"/>
      <c r="O101" s="90"/>
      <c r="P101" s="90"/>
      <c r="Q101" s="90"/>
      <c r="R101" s="90"/>
      <c r="S101" s="90"/>
      <c r="T101" s="90"/>
    </row>
    <row r="102" spans="1:20" s="91" customFormat="1" ht="14.25">
      <c r="A102" s="86" t="s">
        <v>550</v>
      </c>
      <c r="B102" s="203"/>
      <c r="C102" s="211" t="s">
        <v>829</v>
      </c>
      <c r="D102" s="177"/>
      <c r="E102" s="41">
        <v>61.97</v>
      </c>
      <c r="F102" s="41"/>
      <c r="G102" s="41"/>
      <c r="H102" s="211"/>
      <c r="I102" s="41"/>
      <c r="J102" s="41"/>
      <c r="K102" s="83"/>
      <c r="L102" s="90"/>
      <c r="M102" s="274"/>
      <c r="N102" s="228"/>
      <c r="O102" s="90"/>
      <c r="P102" s="90"/>
      <c r="Q102" s="90"/>
      <c r="R102" s="90"/>
      <c r="S102" s="90"/>
      <c r="T102" s="90"/>
    </row>
    <row r="103" spans="1:20" s="42" customFormat="1" ht="13.5">
      <c r="A103" s="86" t="s">
        <v>553</v>
      </c>
      <c r="B103" s="56"/>
      <c r="C103" s="211" t="s">
        <v>830</v>
      </c>
      <c r="D103" s="177" t="s">
        <v>391</v>
      </c>
      <c r="E103" s="41">
        <v>9</v>
      </c>
      <c r="F103" s="211"/>
      <c r="G103" s="41"/>
      <c r="H103" s="41"/>
      <c r="I103" s="41"/>
      <c r="J103" s="41"/>
      <c r="K103" s="83"/>
      <c r="L103" s="36"/>
      <c r="M103" s="279"/>
      <c r="N103" s="36"/>
      <c r="O103" s="36"/>
      <c r="P103" s="36"/>
      <c r="Q103" s="36"/>
      <c r="R103" s="36"/>
      <c r="S103" s="36"/>
      <c r="T103" s="36"/>
    </row>
    <row r="104" spans="1:20" ht="14.25">
      <c r="A104" s="67" t="s">
        <v>158</v>
      </c>
      <c r="B104" s="67"/>
      <c r="C104" s="67"/>
      <c r="D104" s="67"/>
      <c r="E104" s="67"/>
      <c r="F104" s="67"/>
      <c r="G104" s="67"/>
      <c r="H104" s="67"/>
      <c r="I104" s="67"/>
      <c r="J104" s="267"/>
      <c r="K104" s="260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s="42" customFormat="1" ht="13.5">
      <c r="A105" s="34" t="s">
        <v>159</v>
      </c>
      <c r="B105" s="95" t="s">
        <v>160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s="42" customFormat="1" ht="13.5">
      <c r="A106" s="37" t="s">
        <v>161</v>
      </c>
      <c r="B106" s="37"/>
      <c r="C106" s="204" t="s">
        <v>560</v>
      </c>
      <c r="D106" s="281" t="s">
        <v>189</v>
      </c>
      <c r="E106" s="218">
        <v>35.04</v>
      </c>
      <c r="F106" s="220"/>
      <c r="G106" s="220"/>
      <c r="H106" s="220"/>
      <c r="I106" s="220"/>
      <c r="J106" s="220"/>
      <c r="K106" s="282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s="42" customFormat="1" ht="13.5">
      <c r="A107" s="37" t="s">
        <v>162</v>
      </c>
      <c r="B107" s="37"/>
      <c r="C107" s="204" t="s">
        <v>561</v>
      </c>
      <c r="D107" s="283" t="s">
        <v>391</v>
      </c>
      <c r="E107" s="218">
        <v>6</v>
      </c>
      <c r="F107" s="206"/>
      <c r="G107" s="220"/>
      <c r="H107" s="206"/>
      <c r="I107" s="220"/>
      <c r="J107" s="220"/>
      <c r="K107" s="282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s="42" customFormat="1" ht="13.5">
      <c r="A108" s="37" t="s">
        <v>163</v>
      </c>
      <c r="B108" s="37"/>
      <c r="C108" s="204" t="s">
        <v>562</v>
      </c>
      <c r="D108" s="283" t="s">
        <v>391</v>
      </c>
      <c r="E108" s="218">
        <v>7</v>
      </c>
      <c r="F108" s="206"/>
      <c r="G108" s="220"/>
      <c r="H108" s="206"/>
      <c r="I108" s="220"/>
      <c r="J108" s="220"/>
      <c r="K108" s="282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s="42" customFormat="1" ht="23.25">
      <c r="A109" s="37" t="s">
        <v>164</v>
      </c>
      <c r="B109" s="37"/>
      <c r="C109" s="277" t="s">
        <v>563</v>
      </c>
      <c r="D109" s="283" t="s">
        <v>391</v>
      </c>
      <c r="E109" s="218">
        <v>1</v>
      </c>
      <c r="F109" s="206"/>
      <c r="G109" s="220"/>
      <c r="H109" s="206"/>
      <c r="I109" s="220"/>
      <c r="J109" s="220"/>
      <c r="K109" s="282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s="42" customFormat="1" ht="13.5">
      <c r="A110" s="37" t="s">
        <v>165</v>
      </c>
      <c r="B110" s="37"/>
      <c r="C110" s="204" t="s">
        <v>564</v>
      </c>
      <c r="D110" s="281" t="s">
        <v>189</v>
      </c>
      <c r="E110" s="218">
        <v>48.15</v>
      </c>
      <c r="F110" s="206"/>
      <c r="G110" s="220"/>
      <c r="H110" s="206"/>
      <c r="I110" s="220"/>
      <c r="J110" s="220"/>
      <c r="K110" s="282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s="42" customFormat="1" ht="13.5">
      <c r="A111" s="37" t="s">
        <v>166</v>
      </c>
      <c r="B111" s="37"/>
      <c r="C111" s="277" t="s">
        <v>565</v>
      </c>
      <c r="D111" s="281" t="s">
        <v>189</v>
      </c>
      <c r="E111" s="218">
        <v>48.15</v>
      </c>
      <c r="F111" s="206"/>
      <c r="G111" s="220"/>
      <c r="H111" s="206"/>
      <c r="I111" s="220"/>
      <c r="J111" s="220"/>
      <c r="K111" s="282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s="42" customFormat="1" ht="13.5">
      <c r="A112" s="37" t="s">
        <v>167</v>
      </c>
      <c r="B112" s="37"/>
      <c r="C112" s="230" t="s">
        <v>530</v>
      </c>
      <c r="D112" s="283" t="s">
        <v>391</v>
      </c>
      <c r="E112" s="178">
        <v>13</v>
      </c>
      <c r="F112" s="220"/>
      <c r="G112" s="220"/>
      <c r="H112" s="220"/>
      <c r="I112" s="220"/>
      <c r="J112" s="220"/>
      <c r="K112" s="282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s="42" customFormat="1" ht="13.5">
      <c r="A113" s="100" t="s">
        <v>171</v>
      </c>
      <c r="B113" s="100"/>
      <c r="C113" s="100"/>
      <c r="D113" s="100"/>
      <c r="E113" s="100"/>
      <c r="F113" s="100"/>
      <c r="G113" s="100"/>
      <c r="H113" s="100"/>
      <c r="I113" s="100"/>
      <c r="J113" s="101"/>
      <c r="K113" s="101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2" s="42" customFormat="1" ht="13.5">
      <c r="A114" s="34" t="s">
        <v>172</v>
      </c>
      <c r="B114" s="55" t="s">
        <v>173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36"/>
      <c r="M114" s="36"/>
      <c r="N114" s="36"/>
      <c r="O114" s="36"/>
      <c r="P114" s="36"/>
      <c r="Q114" s="36"/>
      <c r="R114" s="36"/>
      <c r="S114" s="36"/>
      <c r="T114" s="36"/>
      <c r="U114" s="63"/>
      <c r="V114" s="63"/>
    </row>
    <row r="115" spans="1:22" s="42" customFormat="1" ht="13.5">
      <c r="A115" s="37" t="s">
        <v>174</v>
      </c>
      <c r="B115" s="210" t="s">
        <v>194</v>
      </c>
      <c r="C115" s="211" t="s">
        <v>566</v>
      </c>
      <c r="D115" s="177" t="s">
        <v>189</v>
      </c>
      <c r="E115" s="41">
        <v>136.76</v>
      </c>
      <c r="F115" s="41"/>
      <c r="G115" s="41"/>
      <c r="H115" s="41"/>
      <c r="I115" s="41"/>
      <c r="J115" s="41"/>
      <c r="K115" s="83"/>
      <c r="L115" s="36"/>
      <c r="M115" s="36"/>
      <c r="N115" s="36"/>
      <c r="O115" s="36"/>
      <c r="P115" s="36"/>
      <c r="Q115" s="36"/>
      <c r="R115" s="36"/>
      <c r="S115" s="36"/>
      <c r="T115" s="36"/>
      <c r="U115" s="63"/>
      <c r="V115" s="63"/>
    </row>
    <row r="116" spans="1:22" s="42" customFormat="1" ht="13.5">
      <c r="A116" s="37" t="s">
        <v>175</v>
      </c>
      <c r="B116" s="210" t="s">
        <v>567</v>
      </c>
      <c r="C116" s="211" t="s">
        <v>568</v>
      </c>
      <c r="D116" s="177" t="s">
        <v>189</v>
      </c>
      <c r="E116" s="41">
        <v>7.47</v>
      </c>
      <c r="F116" s="41"/>
      <c r="G116" s="41"/>
      <c r="H116" s="41"/>
      <c r="I116" s="41"/>
      <c r="J116" s="41"/>
      <c r="K116" s="83"/>
      <c r="L116" s="36"/>
      <c r="M116" s="36"/>
      <c r="N116" s="36"/>
      <c r="O116" s="278"/>
      <c r="P116" s="228"/>
      <c r="Q116" s="36"/>
      <c r="R116" s="36"/>
      <c r="S116" s="36"/>
      <c r="T116" s="36"/>
      <c r="U116" s="63"/>
      <c r="V116" s="63"/>
    </row>
    <row r="117" spans="1:22" s="42" customFormat="1" ht="13.5">
      <c r="A117" s="37" t="s">
        <v>176</v>
      </c>
      <c r="B117" s="210" t="s">
        <v>569</v>
      </c>
      <c r="C117" s="211" t="s">
        <v>570</v>
      </c>
      <c r="D117" s="177" t="s">
        <v>189</v>
      </c>
      <c r="E117" s="41">
        <v>7.4</v>
      </c>
      <c r="F117" s="41"/>
      <c r="G117" s="41"/>
      <c r="H117" s="41"/>
      <c r="I117" s="41"/>
      <c r="J117" s="41"/>
      <c r="K117" s="83"/>
      <c r="L117" s="36"/>
      <c r="M117" s="36"/>
      <c r="N117" s="36"/>
      <c r="O117" s="278"/>
      <c r="P117" s="228"/>
      <c r="Q117" s="36"/>
      <c r="R117" s="36"/>
      <c r="S117" s="36"/>
      <c r="T117" s="36"/>
      <c r="U117" s="63"/>
      <c r="V117" s="63"/>
    </row>
    <row r="118" spans="1:22" s="42" customFormat="1" ht="13.5">
      <c r="A118" s="37" t="s">
        <v>177</v>
      </c>
      <c r="B118" s="210" t="s">
        <v>573</v>
      </c>
      <c r="C118" s="211" t="s">
        <v>574</v>
      </c>
      <c r="D118" s="177" t="s">
        <v>189</v>
      </c>
      <c r="E118" s="41">
        <v>95.39</v>
      </c>
      <c r="F118" s="41"/>
      <c r="G118" s="41"/>
      <c r="H118" s="41"/>
      <c r="I118" s="41"/>
      <c r="J118" s="41"/>
      <c r="K118" s="83"/>
      <c r="L118" s="36"/>
      <c r="M118" s="36"/>
      <c r="N118" s="36"/>
      <c r="O118" s="278"/>
      <c r="P118" s="228"/>
      <c r="Q118" s="36"/>
      <c r="R118" s="36"/>
      <c r="S118" s="36"/>
      <c r="T118" s="36"/>
      <c r="U118" s="63"/>
      <c r="V118" s="63"/>
    </row>
    <row r="119" spans="1:22" s="42" customFormat="1" ht="13.5">
      <c r="A119" s="37" t="s">
        <v>178</v>
      </c>
      <c r="B119" s="210" t="s">
        <v>579</v>
      </c>
      <c r="C119" s="211" t="s">
        <v>580</v>
      </c>
      <c r="D119" s="177" t="s">
        <v>189</v>
      </c>
      <c r="E119" s="41">
        <v>21.87</v>
      </c>
      <c r="F119" s="41"/>
      <c r="G119" s="41"/>
      <c r="H119" s="41"/>
      <c r="I119" s="41"/>
      <c r="J119" s="41"/>
      <c r="K119" s="83"/>
      <c r="L119" s="36"/>
      <c r="M119" s="36"/>
      <c r="N119" s="36"/>
      <c r="O119" s="278"/>
      <c r="P119" s="228"/>
      <c r="Q119" s="36"/>
      <c r="R119" s="36"/>
      <c r="S119" s="36"/>
      <c r="T119" s="36"/>
      <c r="U119" s="63"/>
      <c r="V119" s="63"/>
    </row>
    <row r="120" spans="1:22" s="42" customFormat="1" ht="13.5">
      <c r="A120" s="37" t="s">
        <v>179</v>
      </c>
      <c r="B120" s="37"/>
      <c r="C120" s="211" t="s">
        <v>759</v>
      </c>
      <c r="D120" s="177" t="s">
        <v>189</v>
      </c>
      <c r="E120" s="41">
        <v>31.45</v>
      </c>
      <c r="F120" s="41"/>
      <c r="G120" s="41"/>
      <c r="H120" s="41"/>
      <c r="I120" s="41"/>
      <c r="J120" s="41"/>
      <c r="K120" s="83"/>
      <c r="L120" s="36"/>
      <c r="M120" s="36"/>
      <c r="N120" s="36"/>
      <c r="O120" s="278"/>
      <c r="P120" s="228"/>
      <c r="Q120" s="36"/>
      <c r="R120" s="36"/>
      <c r="S120" s="36"/>
      <c r="T120" s="36"/>
      <c r="U120" s="63"/>
      <c r="V120" s="63"/>
    </row>
    <row r="121" spans="1:22" s="42" customFormat="1" ht="13.5">
      <c r="A121" s="37" t="s">
        <v>180</v>
      </c>
      <c r="B121" s="210">
        <v>72557</v>
      </c>
      <c r="C121" s="211" t="s">
        <v>761</v>
      </c>
      <c r="D121" s="177" t="s">
        <v>391</v>
      </c>
      <c r="E121" s="41">
        <v>2</v>
      </c>
      <c r="F121" s="41"/>
      <c r="G121" s="41"/>
      <c r="H121" s="41"/>
      <c r="I121" s="41"/>
      <c r="J121" s="41"/>
      <c r="K121" s="83"/>
      <c r="L121" s="36"/>
      <c r="M121" s="36"/>
      <c r="N121" s="36"/>
      <c r="O121" s="278"/>
      <c r="P121" s="228"/>
      <c r="Q121" s="36"/>
      <c r="R121" s="36"/>
      <c r="S121" s="36"/>
      <c r="T121" s="36"/>
      <c r="U121" s="63"/>
      <c r="V121" s="63"/>
    </row>
    <row r="122" spans="1:22" s="42" customFormat="1" ht="13.5">
      <c r="A122" s="37" t="s">
        <v>181</v>
      </c>
      <c r="B122" s="210">
        <v>72557</v>
      </c>
      <c r="C122" s="211" t="s">
        <v>581</v>
      </c>
      <c r="D122" s="177" t="s">
        <v>391</v>
      </c>
      <c r="E122" s="41">
        <v>15</v>
      </c>
      <c r="F122" s="41"/>
      <c r="G122" s="41"/>
      <c r="H122" s="41"/>
      <c r="I122" s="41"/>
      <c r="J122" s="41"/>
      <c r="K122" s="83"/>
      <c r="L122" s="36"/>
      <c r="M122" s="36"/>
      <c r="N122" s="36"/>
      <c r="O122" s="278"/>
      <c r="P122" s="228"/>
      <c r="Q122" s="36"/>
      <c r="R122" s="36"/>
      <c r="S122" s="36"/>
      <c r="T122" s="36"/>
      <c r="U122" s="63"/>
      <c r="V122" s="63"/>
    </row>
    <row r="123" spans="1:22" s="42" customFormat="1" ht="13.5">
      <c r="A123" s="37" t="s">
        <v>182</v>
      </c>
      <c r="B123" s="210">
        <v>72562</v>
      </c>
      <c r="C123" s="211" t="s">
        <v>582</v>
      </c>
      <c r="D123" s="177" t="s">
        <v>391</v>
      </c>
      <c r="E123" s="41">
        <v>2</v>
      </c>
      <c r="F123" s="41"/>
      <c r="G123" s="41"/>
      <c r="H123" s="41"/>
      <c r="I123" s="41"/>
      <c r="J123" s="41"/>
      <c r="K123" s="83"/>
      <c r="L123" s="36"/>
      <c r="M123" s="36"/>
      <c r="N123" s="36"/>
      <c r="O123" s="278"/>
      <c r="P123" s="228"/>
      <c r="Q123" s="36"/>
      <c r="R123" s="36"/>
      <c r="S123" s="36"/>
      <c r="T123" s="36"/>
      <c r="U123" s="63"/>
      <c r="V123" s="63"/>
    </row>
    <row r="124" spans="1:22" s="42" customFormat="1" ht="13.5">
      <c r="A124" s="37" t="s">
        <v>183</v>
      </c>
      <c r="B124" s="202">
        <v>72561</v>
      </c>
      <c r="C124" s="211" t="s">
        <v>583</v>
      </c>
      <c r="D124" s="177" t="s">
        <v>391</v>
      </c>
      <c r="E124" s="41">
        <v>3</v>
      </c>
      <c r="F124" s="41"/>
      <c r="G124" s="41"/>
      <c r="H124" s="41"/>
      <c r="I124" s="41"/>
      <c r="J124" s="41"/>
      <c r="K124" s="83"/>
      <c r="L124" s="36"/>
      <c r="M124" s="36"/>
      <c r="N124" s="36"/>
      <c r="O124" s="278"/>
      <c r="P124" s="228"/>
      <c r="Q124" s="36"/>
      <c r="R124" s="36"/>
      <c r="S124" s="36"/>
      <c r="T124" s="36"/>
      <c r="U124" s="63"/>
      <c r="V124" s="63"/>
    </row>
    <row r="125" spans="1:22" s="42" customFormat="1" ht="13.5">
      <c r="A125" s="37" t="s">
        <v>184</v>
      </c>
      <c r="B125" s="202">
        <v>72560</v>
      </c>
      <c r="C125" s="211" t="s">
        <v>585</v>
      </c>
      <c r="D125" s="177" t="s">
        <v>391</v>
      </c>
      <c r="E125" s="41">
        <v>5</v>
      </c>
      <c r="F125" s="41"/>
      <c r="G125" s="41"/>
      <c r="H125" s="41"/>
      <c r="I125" s="41"/>
      <c r="J125" s="41"/>
      <c r="K125" s="83"/>
      <c r="L125" s="36"/>
      <c r="M125" s="36"/>
      <c r="N125" s="36"/>
      <c r="O125" s="278"/>
      <c r="P125" s="228"/>
      <c r="Q125" s="36"/>
      <c r="R125" s="36"/>
      <c r="S125" s="36"/>
      <c r="T125" s="36"/>
      <c r="U125" s="63"/>
      <c r="V125" s="63"/>
    </row>
    <row r="126" spans="1:22" s="42" customFormat="1" ht="13.5">
      <c r="A126" s="37" t="s">
        <v>226</v>
      </c>
      <c r="B126" s="202">
        <v>72573</v>
      </c>
      <c r="C126" s="211" t="s">
        <v>587</v>
      </c>
      <c r="D126" s="177" t="s">
        <v>391</v>
      </c>
      <c r="E126" s="41">
        <v>12</v>
      </c>
      <c r="F126" s="41"/>
      <c r="G126" s="41"/>
      <c r="H126" s="41"/>
      <c r="I126" s="41"/>
      <c r="J126" s="41"/>
      <c r="K126" s="83"/>
      <c r="L126" s="36"/>
      <c r="M126" s="36"/>
      <c r="N126" s="36"/>
      <c r="O126" s="278"/>
      <c r="P126" s="228"/>
      <c r="Q126" s="36"/>
      <c r="R126" s="36"/>
      <c r="S126" s="36"/>
      <c r="T126" s="36"/>
      <c r="U126" s="63"/>
      <c r="V126" s="63"/>
    </row>
    <row r="127" spans="1:22" s="42" customFormat="1" ht="13.5">
      <c r="A127" s="37" t="s">
        <v>236</v>
      </c>
      <c r="B127" s="202">
        <v>72580</v>
      </c>
      <c r="C127" s="211" t="s">
        <v>589</v>
      </c>
      <c r="D127" s="177" t="s">
        <v>391</v>
      </c>
      <c r="E127" s="41">
        <v>5</v>
      </c>
      <c r="F127" s="41"/>
      <c r="G127" s="41"/>
      <c r="H127" s="41"/>
      <c r="I127" s="41"/>
      <c r="J127" s="41"/>
      <c r="K127" s="83"/>
      <c r="L127" s="36"/>
      <c r="M127" s="36"/>
      <c r="N127" s="36"/>
      <c r="O127" s="269"/>
      <c r="P127" s="228"/>
      <c r="Q127" s="36"/>
      <c r="R127" s="36"/>
      <c r="S127" s="36"/>
      <c r="T127" s="36"/>
      <c r="U127" s="63"/>
      <c r="V127" s="63"/>
    </row>
    <row r="128" spans="1:22" s="42" customFormat="1" ht="13.5">
      <c r="A128" s="37" t="s">
        <v>586</v>
      </c>
      <c r="B128" s="37"/>
      <c r="C128" s="211" t="s">
        <v>763</v>
      </c>
      <c r="D128" s="177" t="s">
        <v>391</v>
      </c>
      <c r="E128" s="41">
        <v>22</v>
      </c>
      <c r="F128" s="41"/>
      <c r="G128" s="41"/>
      <c r="H128" s="41"/>
      <c r="I128" s="41"/>
      <c r="J128" s="41"/>
      <c r="K128" s="83"/>
      <c r="L128" s="36"/>
      <c r="M128" s="36"/>
      <c r="N128" s="36"/>
      <c r="O128" s="269"/>
      <c r="P128" s="228"/>
      <c r="Q128" s="36"/>
      <c r="R128" s="36"/>
      <c r="S128" s="36"/>
      <c r="T128" s="36"/>
      <c r="U128" s="63"/>
      <c r="V128" s="63"/>
    </row>
    <row r="129" spans="1:22" s="42" customFormat="1" ht="13.5">
      <c r="A129" s="37" t="s">
        <v>588</v>
      </c>
      <c r="B129" s="37"/>
      <c r="C129" s="211" t="s">
        <v>764</v>
      </c>
      <c r="D129" s="177" t="s">
        <v>391</v>
      </c>
      <c r="E129" s="41">
        <v>18</v>
      </c>
      <c r="F129" s="41"/>
      <c r="G129" s="41"/>
      <c r="H129" s="41"/>
      <c r="I129" s="41"/>
      <c r="J129" s="41"/>
      <c r="K129" s="83"/>
      <c r="L129" s="36"/>
      <c r="M129" s="36"/>
      <c r="N129" s="36"/>
      <c r="O129" s="269"/>
      <c r="P129" s="228"/>
      <c r="Q129" s="36"/>
      <c r="R129" s="36"/>
      <c r="S129" s="36"/>
      <c r="T129" s="36"/>
      <c r="U129" s="63"/>
      <c r="V129" s="63"/>
    </row>
    <row r="130" spans="1:22" s="42" customFormat="1" ht="13.5">
      <c r="A130" s="37" t="s">
        <v>590</v>
      </c>
      <c r="B130" s="37"/>
      <c r="C130" s="211" t="s">
        <v>591</v>
      </c>
      <c r="D130" s="177" t="s">
        <v>391</v>
      </c>
      <c r="E130" s="41">
        <v>5</v>
      </c>
      <c r="F130" s="41"/>
      <c r="G130" s="41"/>
      <c r="H130" s="41"/>
      <c r="I130" s="41"/>
      <c r="J130" s="41"/>
      <c r="K130" s="83"/>
      <c r="L130" s="36"/>
      <c r="M130" s="36"/>
      <c r="N130" s="36"/>
      <c r="O130" s="269"/>
      <c r="P130" s="228"/>
      <c r="Q130" s="36"/>
      <c r="R130" s="36"/>
      <c r="S130" s="36"/>
      <c r="T130" s="36"/>
      <c r="U130" s="63"/>
      <c r="V130" s="63"/>
    </row>
    <row r="131" spans="1:22" s="42" customFormat="1" ht="13.5">
      <c r="A131" s="37" t="s">
        <v>592</v>
      </c>
      <c r="B131" s="37"/>
      <c r="C131" s="211" t="s">
        <v>595</v>
      </c>
      <c r="D131" s="177" t="s">
        <v>391</v>
      </c>
      <c r="E131" s="41">
        <v>5</v>
      </c>
      <c r="F131" s="41"/>
      <c r="G131" s="41"/>
      <c r="H131" s="41"/>
      <c r="I131" s="41"/>
      <c r="J131" s="41"/>
      <c r="K131" s="83"/>
      <c r="L131" s="36"/>
      <c r="M131" s="36"/>
      <c r="N131" s="36"/>
      <c r="O131" s="296"/>
      <c r="P131" s="228"/>
      <c r="Q131" s="36"/>
      <c r="R131" s="36"/>
      <c r="S131" s="36"/>
      <c r="T131" s="36"/>
      <c r="U131" s="63"/>
      <c r="V131" s="63"/>
    </row>
    <row r="132" spans="1:22" s="42" customFormat="1" ht="13.5">
      <c r="A132" s="37" t="s">
        <v>594</v>
      </c>
      <c r="B132" s="37"/>
      <c r="C132" s="211" t="s">
        <v>767</v>
      </c>
      <c r="D132" s="177" t="s">
        <v>391</v>
      </c>
      <c r="E132" s="41">
        <v>5</v>
      </c>
      <c r="F132" s="41"/>
      <c r="G132" s="41"/>
      <c r="H132" s="41"/>
      <c r="I132" s="41"/>
      <c r="J132" s="41"/>
      <c r="K132" s="83"/>
      <c r="L132" s="36"/>
      <c r="M132" s="36"/>
      <c r="N132" s="36"/>
      <c r="O132" s="296"/>
      <c r="P132" s="228"/>
      <c r="Q132" s="36"/>
      <c r="R132" s="36"/>
      <c r="S132" s="36"/>
      <c r="T132" s="36"/>
      <c r="U132" s="63"/>
      <c r="V132" s="63"/>
    </row>
    <row r="133" spans="1:22" s="42" customFormat="1" ht="13.5">
      <c r="A133" s="37" t="s">
        <v>596</v>
      </c>
      <c r="B133" s="37"/>
      <c r="C133" s="211" t="s">
        <v>597</v>
      </c>
      <c r="D133" s="177" t="s">
        <v>391</v>
      </c>
      <c r="E133" s="41">
        <v>3</v>
      </c>
      <c r="F133" s="41"/>
      <c r="G133" s="41"/>
      <c r="H133" s="41"/>
      <c r="I133" s="41"/>
      <c r="J133" s="41"/>
      <c r="K133" s="83"/>
      <c r="L133" s="36"/>
      <c r="M133" s="36"/>
      <c r="N133" s="36"/>
      <c r="O133" s="296"/>
      <c r="P133" s="228"/>
      <c r="Q133" s="36"/>
      <c r="R133" s="36"/>
      <c r="S133" s="36"/>
      <c r="T133" s="36"/>
      <c r="U133" s="63"/>
      <c r="V133" s="63"/>
    </row>
    <row r="134" spans="1:22" s="42" customFormat="1" ht="13.5">
      <c r="A134" s="37" t="s">
        <v>598</v>
      </c>
      <c r="B134" s="37"/>
      <c r="C134" s="211" t="s">
        <v>599</v>
      </c>
      <c r="D134" s="177" t="s">
        <v>391</v>
      </c>
      <c r="E134" s="41">
        <v>2</v>
      </c>
      <c r="F134" s="41"/>
      <c r="G134" s="41"/>
      <c r="H134" s="41"/>
      <c r="I134" s="41"/>
      <c r="J134" s="41"/>
      <c r="K134" s="83"/>
      <c r="L134" s="36"/>
      <c r="M134" s="36"/>
      <c r="N134" s="36"/>
      <c r="O134" s="296"/>
      <c r="P134" s="228"/>
      <c r="Q134" s="36"/>
      <c r="R134" s="36"/>
      <c r="S134" s="36"/>
      <c r="T134" s="36"/>
      <c r="U134" s="63"/>
      <c r="V134" s="63"/>
    </row>
    <row r="135" spans="1:22" s="42" customFormat="1" ht="13.5">
      <c r="A135" s="37" t="s">
        <v>600</v>
      </c>
      <c r="B135" s="37"/>
      <c r="C135" s="211" t="s">
        <v>770</v>
      </c>
      <c r="D135" s="177" t="s">
        <v>391</v>
      </c>
      <c r="E135" s="41">
        <v>2</v>
      </c>
      <c r="F135" s="41"/>
      <c r="G135" s="41"/>
      <c r="H135" s="41"/>
      <c r="I135" s="41"/>
      <c r="J135" s="41"/>
      <c r="K135" s="83"/>
      <c r="L135" s="36"/>
      <c r="M135" s="36"/>
      <c r="N135" s="36"/>
      <c r="O135" s="296"/>
      <c r="P135" s="228"/>
      <c r="Q135" s="36"/>
      <c r="R135" s="36"/>
      <c r="S135" s="36"/>
      <c r="T135" s="36"/>
      <c r="U135" s="63"/>
      <c r="V135" s="63"/>
    </row>
    <row r="136" spans="1:22" s="42" customFormat="1" ht="13.5">
      <c r="A136" s="37" t="s">
        <v>602</v>
      </c>
      <c r="B136" s="37"/>
      <c r="C136" s="211" t="s">
        <v>605</v>
      </c>
      <c r="D136" s="177" t="s">
        <v>391</v>
      </c>
      <c r="E136" s="41">
        <v>2</v>
      </c>
      <c r="F136" s="41"/>
      <c r="G136" s="41"/>
      <c r="H136" s="41"/>
      <c r="I136" s="41"/>
      <c r="J136" s="41"/>
      <c r="K136" s="83"/>
      <c r="L136" s="36"/>
      <c r="M136" s="36"/>
      <c r="N136" s="36"/>
      <c r="O136" s="296"/>
      <c r="P136" s="228"/>
      <c r="Q136" s="36"/>
      <c r="R136" s="36"/>
      <c r="S136" s="36"/>
      <c r="T136" s="36"/>
      <c r="U136" s="63"/>
      <c r="V136" s="63"/>
    </row>
    <row r="137" spans="1:22" s="42" customFormat="1" ht="13.5">
      <c r="A137" s="37" t="s">
        <v>604</v>
      </c>
      <c r="B137" s="37"/>
      <c r="C137" s="230" t="s">
        <v>772</v>
      </c>
      <c r="D137" s="177" t="s">
        <v>391</v>
      </c>
      <c r="E137" s="41">
        <v>3</v>
      </c>
      <c r="F137" s="41"/>
      <c r="G137" s="41"/>
      <c r="H137" s="41"/>
      <c r="I137" s="41"/>
      <c r="J137" s="41"/>
      <c r="K137" s="83"/>
      <c r="L137" s="36"/>
      <c r="M137" s="36"/>
      <c r="N137" s="36"/>
      <c r="O137" s="296"/>
      <c r="P137" s="228"/>
      <c r="Q137" s="36"/>
      <c r="R137" s="36"/>
      <c r="S137" s="36"/>
      <c r="T137" s="36"/>
      <c r="U137" s="63"/>
      <c r="V137" s="63"/>
    </row>
    <row r="138" spans="1:22" s="42" customFormat="1" ht="13.5">
      <c r="A138" s="37" t="s">
        <v>606</v>
      </c>
      <c r="B138" s="37"/>
      <c r="C138" s="230" t="s">
        <v>607</v>
      </c>
      <c r="D138" s="177" t="s">
        <v>391</v>
      </c>
      <c r="E138" s="41">
        <v>1</v>
      </c>
      <c r="F138" s="41"/>
      <c r="G138" s="41"/>
      <c r="H138" s="41"/>
      <c r="I138" s="41"/>
      <c r="J138" s="41"/>
      <c r="K138" s="83"/>
      <c r="L138" s="36"/>
      <c r="M138" s="36"/>
      <c r="N138" s="36"/>
      <c r="O138" s="296"/>
      <c r="P138" s="228"/>
      <c r="Q138" s="36"/>
      <c r="R138" s="36"/>
      <c r="S138" s="36"/>
      <c r="T138" s="36"/>
      <c r="U138" s="63"/>
      <c r="V138" s="63"/>
    </row>
    <row r="139" spans="1:22" s="42" customFormat="1" ht="13.5">
      <c r="A139" s="37" t="s">
        <v>608</v>
      </c>
      <c r="B139" s="231" t="s">
        <v>611</v>
      </c>
      <c r="C139" s="230" t="s">
        <v>609</v>
      </c>
      <c r="D139" s="177" t="s">
        <v>391</v>
      </c>
      <c r="E139" s="41">
        <v>5</v>
      </c>
      <c r="F139" s="41"/>
      <c r="G139" s="41"/>
      <c r="H139" s="41"/>
      <c r="I139" s="41"/>
      <c r="J139" s="41"/>
      <c r="K139" s="83"/>
      <c r="L139" s="36"/>
      <c r="M139" s="36"/>
      <c r="N139" s="36"/>
      <c r="O139" s="296"/>
      <c r="P139" s="237"/>
      <c r="Q139" s="36"/>
      <c r="R139" s="36"/>
      <c r="S139" s="36"/>
      <c r="T139" s="36"/>
      <c r="U139" s="63"/>
      <c r="V139" s="63"/>
    </row>
    <row r="140" spans="1:22" s="42" customFormat="1" ht="13.5">
      <c r="A140" s="37" t="s">
        <v>610</v>
      </c>
      <c r="B140" s="37"/>
      <c r="C140" s="211" t="s">
        <v>614</v>
      </c>
      <c r="D140" s="177" t="s">
        <v>391</v>
      </c>
      <c r="E140" s="41">
        <v>5</v>
      </c>
      <c r="F140" s="41"/>
      <c r="G140" s="41"/>
      <c r="H140" s="41"/>
      <c r="I140" s="41"/>
      <c r="J140" s="41"/>
      <c r="K140" s="83"/>
      <c r="L140" s="36"/>
      <c r="M140" s="36"/>
      <c r="N140" s="36"/>
      <c r="O140" s="296"/>
      <c r="P140" s="237"/>
      <c r="Q140" s="36"/>
      <c r="R140" s="36"/>
      <c r="S140" s="36"/>
      <c r="T140" s="36"/>
      <c r="U140" s="63"/>
      <c r="V140" s="63"/>
    </row>
    <row r="141" spans="1:22" s="42" customFormat="1" ht="13.5">
      <c r="A141" s="37" t="s">
        <v>613</v>
      </c>
      <c r="B141" s="37"/>
      <c r="C141" s="211" t="s">
        <v>620</v>
      </c>
      <c r="D141" s="177" t="s">
        <v>391</v>
      </c>
      <c r="E141" s="41">
        <v>1</v>
      </c>
      <c r="F141" s="41"/>
      <c r="G141" s="41"/>
      <c r="H141" s="41"/>
      <c r="I141" s="41"/>
      <c r="J141" s="41"/>
      <c r="K141" s="83"/>
      <c r="L141" s="36"/>
      <c r="M141" s="36"/>
      <c r="N141" s="36"/>
      <c r="O141" s="287"/>
      <c r="P141" s="237"/>
      <c r="Q141" s="36"/>
      <c r="R141" s="36"/>
      <c r="S141" s="36"/>
      <c r="T141" s="36"/>
      <c r="U141" s="63"/>
      <c r="V141" s="63"/>
    </row>
    <row r="142" spans="1:22" s="42" customFormat="1" ht="13.5">
      <c r="A142" s="37" t="s">
        <v>615</v>
      </c>
      <c r="B142" s="195" t="s">
        <v>634</v>
      </c>
      <c r="C142" s="234" t="s">
        <v>635</v>
      </c>
      <c r="D142" s="184" t="s">
        <v>391</v>
      </c>
      <c r="E142" s="83">
        <v>1</v>
      </c>
      <c r="F142" s="41"/>
      <c r="G142" s="41"/>
      <c r="H142" s="41"/>
      <c r="I142" s="41"/>
      <c r="J142" s="41"/>
      <c r="K142" s="83"/>
      <c r="L142" s="36"/>
      <c r="M142" s="36"/>
      <c r="N142" s="36"/>
      <c r="O142" s="296"/>
      <c r="P142" s="228"/>
      <c r="Q142" s="36"/>
      <c r="R142" s="36"/>
      <c r="S142" s="36"/>
      <c r="T142" s="36"/>
      <c r="U142" s="63"/>
      <c r="V142" s="63"/>
    </row>
    <row r="143" spans="1:22" s="42" customFormat="1" ht="13.5">
      <c r="A143" s="37" t="s">
        <v>617</v>
      </c>
      <c r="B143" s="37"/>
      <c r="C143" s="211" t="s">
        <v>831</v>
      </c>
      <c r="D143" s="177" t="s">
        <v>391</v>
      </c>
      <c r="E143" s="41">
        <v>1</v>
      </c>
      <c r="F143" s="41"/>
      <c r="G143" s="41"/>
      <c r="H143" s="41"/>
      <c r="I143" s="41"/>
      <c r="J143" s="41"/>
      <c r="K143" s="83"/>
      <c r="L143" s="36"/>
      <c r="M143" s="36"/>
      <c r="N143" s="36"/>
      <c r="O143" s="296"/>
      <c r="P143" s="228"/>
      <c r="Q143" s="36"/>
      <c r="R143" s="36"/>
      <c r="S143" s="36"/>
      <c r="T143" s="36"/>
      <c r="U143" s="63"/>
      <c r="V143" s="63"/>
    </row>
    <row r="144" spans="1:22" s="42" customFormat="1" ht="13.5">
      <c r="A144" s="37" t="s">
        <v>619</v>
      </c>
      <c r="B144" s="37"/>
      <c r="C144" s="211" t="s">
        <v>626</v>
      </c>
      <c r="D144" s="177" t="s">
        <v>391</v>
      </c>
      <c r="E144" s="41">
        <v>1</v>
      </c>
      <c r="F144" s="41"/>
      <c r="G144" s="41"/>
      <c r="H144" s="41"/>
      <c r="I144" s="41"/>
      <c r="J144" s="41"/>
      <c r="K144" s="83"/>
      <c r="L144" s="36"/>
      <c r="M144" s="36"/>
      <c r="N144" s="36"/>
      <c r="O144" s="296"/>
      <c r="P144" s="228"/>
      <c r="Q144" s="36"/>
      <c r="R144" s="36"/>
      <c r="S144" s="36"/>
      <c r="T144" s="36"/>
      <c r="U144" s="63"/>
      <c r="V144" s="63"/>
    </row>
    <row r="145" spans="1:22" s="42" customFormat="1" ht="23.25">
      <c r="A145" s="37" t="s">
        <v>621</v>
      </c>
      <c r="B145" s="37"/>
      <c r="C145" s="230" t="s">
        <v>832</v>
      </c>
      <c r="D145" s="177" t="s">
        <v>391</v>
      </c>
      <c r="E145" s="41">
        <v>1</v>
      </c>
      <c r="F145" s="41"/>
      <c r="G145" s="41"/>
      <c r="H145" s="41"/>
      <c r="I145" s="41"/>
      <c r="J145" s="41"/>
      <c r="K145" s="83"/>
      <c r="L145" s="36"/>
      <c r="M145" s="36"/>
      <c r="N145" s="36"/>
      <c r="O145" s="296"/>
      <c r="P145" s="228"/>
      <c r="Q145" s="36"/>
      <c r="R145" s="36"/>
      <c r="S145" s="36"/>
      <c r="T145" s="36"/>
      <c r="U145" s="63"/>
      <c r="V145" s="63"/>
    </row>
    <row r="146" spans="1:22" s="42" customFormat="1" ht="13.5">
      <c r="A146" s="37" t="s">
        <v>623</v>
      </c>
      <c r="B146" s="37"/>
      <c r="C146" s="211" t="s">
        <v>628</v>
      </c>
      <c r="D146" s="177" t="s">
        <v>391</v>
      </c>
      <c r="E146" s="41">
        <v>13</v>
      </c>
      <c r="F146" s="41"/>
      <c r="G146" s="41"/>
      <c r="H146" s="41"/>
      <c r="I146" s="41"/>
      <c r="J146" s="41"/>
      <c r="K146" s="83"/>
      <c r="L146" s="36"/>
      <c r="M146" s="36"/>
      <c r="N146" s="36"/>
      <c r="O146" s="296"/>
      <c r="P146" s="228"/>
      <c r="Q146" s="36"/>
      <c r="R146" s="36"/>
      <c r="S146" s="36"/>
      <c r="T146" s="36"/>
      <c r="U146" s="63"/>
      <c r="V146" s="63"/>
    </row>
    <row r="147" spans="1:22" s="299" customFormat="1" ht="14.25">
      <c r="A147" s="37" t="s">
        <v>625</v>
      </c>
      <c r="B147" s="297"/>
      <c r="C147" s="234" t="s">
        <v>833</v>
      </c>
      <c r="D147" s="184" t="s">
        <v>391</v>
      </c>
      <c r="E147" s="83">
        <v>1</v>
      </c>
      <c r="F147" s="235"/>
      <c r="G147" s="235"/>
      <c r="H147" s="235"/>
      <c r="I147" s="235"/>
      <c r="J147" s="235"/>
      <c r="K147" s="235"/>
      <c r="L147" s="213"/>
      <c r="M147" s="213"/>
      <c r="N147" s="36"/>
      <c r="O147" s="296"/>
      <c r="P147" s="228"/>
      <c r="Q147" s="36"/>
      <c r="R147" s="213"/>
      <c r="S147" s="213"/>
      <c r="T147" s="213"/>
      <c r="U147" s="298"/>
      <c r="V147" s="298"/>
    </row>
    <row r="148" spans="1:22" s="299" customFormat="1" ht="14.25">
      <c r="A148" s="37" t="s">
        <v>627</v>
      </c>
      <c r="B148" s="297"/>
      <c r="C148" s="234" t="s">
        <v>834</v>
      </c>
      <c r="D148" s="184" t="s">
        <v>391</v>
      </c>
      <c r="E148" s="83">
        <v>1</v>
      </c>
      <c r="F148" s="235"/>
      <c r="G148" s="235"/>
      <c r="H148" s="235"/>
      <c r="I148" s="235"/>
      <c r="J148" s="235"/>
      <c r="K148" s="235"/>
      <c r="L148" s="213"/>
      <c r="M148" s="213"/>
      <c r="N148" s="36"/>
      <c r="O148" s="296"/>
      <c r="P148" s="228"/>
      <c r="Q148" s="36"/>
      <c r="R148" s="213"/>
      <c r="S148" s="213"/>
      <c r="T148" s="213"/>
      <c r="U148" s="298"/>
      <c r="V148" s="298"/>
    </row>
    <row r="149" spans="1:22" s="299" customFormat="1" ht="14.25">
      <c r="A149" s="37" t="s">
        <v>627</v>
      </c>
      <c r="B149" s="297"/>
      <c r="C149" s="234" t="s">
        <v>835</v>
      </c>
      <c r="D149" s="184" t="s">
        <v>391</v>
      </c>
      <c r="E149" s="83">
        <v>3</v>
      </c>
      <c r="F149" s="235"/>
      <c r="G149" s="235"/>
      <c r="H149" s="235"/>
      <c r="I149" s="235"/>
      <c r="J149" s="235"/>
      <c r="K149" s="235"/>
      <c r="L149" s="213"/>
      <c r="M149" s="213"/>
      <c r="N149" s="36"/>
      <c r="O149" s="296"/>
      <c r="P149" s="228"/>
      <c r="Q149" s="36"/>
      <c r="R149" s="213"/>
      <c r="S149" s="213"/>
      <c r="T149" s="213"/>
      <c r="U149" s="298"/>
      <c r="V149" s="298"/>
    </row>
    <row r="150" spans="1:22" s="299" customFormat="1" ht="14.25">
      <c r="A150" s="37" t="s">
        <v>629</v>
      </c>
      <c r="B150" s="297"/>
      <c r="C150" s="234" t="s">
        <v>836</v>
      </c>
      <c r="D150" s="184" t="s">
        <v>391</v>
      </c>
      <c r="E150" s="83">
        <v>1</v>
      </c>
      <c r="F150" s="235"/>
      <c r="G150" s="235"/>
      <c r="H150" s="235"/>
      <c r="I150" s="235"/>
      <c r="J150" s="235"/>
      <c r="K150" s="235"/>
      <c r="L150" s="213"/>
      <c r="M150" s="213"/>
      <c r="N150" s="36"/>
      <c r="O150" s="296"/>
      <c r="P150" s="228"/>
      <c r="Q150" s="36"/>
      <c r="R150" s="213"/>
      <c r="S150" s="213"/>
      <c r="T150" s="213"/>
      <c r="U150" s="298"/>
      <c r="V150" s="298"/>
    </row>
    <row r="151" spans="1:22" s="42" customFormat="1" ht="13.5">
      <c r="A151" s="37" t="s">
        <v>631</v>
      </c>
      <c r="B151" s="37"/>
      <c r="C151" s="211" t="s">
        <v>637</v>
      </c>
      <c r="D151" s="177" t="s">
        <v>391</v>
      </c>
      <c r="E151" s="41">
        <v>5</v>
      </c>
      <c r="F151" s="41"/>
      <c r="G151" s="41"/>
      <c r="H151" s="41"/>
      <c r="I151" s="41"/>
      <c r="J151" s="41"/>
      <c r="K151" s="83"/>
      <c r="L151" s="36"/>
      <c r="M151" s="36"/>
      <c r="N151" s="36"/>
      <c r="O151" s="296"/>
      <c r="P151" s="228"/>
      <c r="Q151" s="36"/>
      <c r="R151" s="36"/>
      <c r="S151" s="36"/>
      <c r="T151" s="36"/>
      <c r="U151" s="63"/>
      <c r="V151" s="63"/>
    </row>
    <row r="152" spans="1:22" s="42" customFormat="1" ht="13.5">
      <c r="A152" s="37" t="s">
        <v>633</v>
      </c>
      <c r="B152" s="37"/>
      <c r="C152" s="211" t="s">
        <v>639</v>
      </c>
      <c r="D152" s="177" t="s">
        <v>391</v>
      </c>
      <c r="E152" s="41">
        <v>1</v>
      </c>
      <c r="F152" s="41"/>
      <c r="G152" s="41"/>
      <c r="H152" s="41"/>
      <c r="I152" s="41"/>
      <c r="J152" s="41"/>
      <c r="K152" s="83"/>
      <c r="L152" s="36"/>
      <c r="M152" s="36"/>
      <c r="N152" s="36"/>
      <c r="O152" s="296"/>
      <c r="P152" s="228"/>
      <c r="Q152" s="36"/>
      <c r="R152" s="36"/>
      <c r="S152" s="36"/>
      <c r="T152" s="36"/>
      <c r="U152" s="63"/>
      <c r="V152" s="63"/>
    </row>
    <row r="153" spans="1:22" s="42" customFormat="1" ht="13.5">
      <c r="A153" s="37" t="s">
        <v>636</v>
      </c>
      <c r="B153" s="37"/>
      <c r="C153" s="211" t="s">
        <v>641</v>
      </c>
      <c r="D153" s="177" t="s">
        <v>391</v>
      </c>
      <c r="E153" s="41">
        <v>1</v>
      </c>
      <c r="F153" s="41"/>
      <c r="G153" s="41"/>
      <c r="H153" s="41"/>
      <c r="I153" s="41"/>
      <c r="J153" s="41"/>
      <c r="K153" s="83"/>
      <c r="L153" s="36"/>
      <c r="M153" s="36"/>
      <c r="N153" s="36"/>
      <c r="O153" s="288"/>
      <c r="P153" s="242"/>
      <c r="Q153" s="36"/>
      <c r="R153" s="36"/>
      <c r="S153" s="36"/>
      <c r="T153" s="36"/>
      <c r="U153" s="63"/>
      <c r="V153" s="63"/>
    </row>
    <row r="154" spans="1:22" s="42" customFormat="1" ht="13.5">
      <c r="A154" s="37" t="s">
        <v>638</v>
      </c>
      <c r="B154" s="37"/>
      <c r="C154" s="211" t="s">
        <v>643</v>
      </c>
      <c r="D154" s="177" t="s">
        <v>391</v>
      </c>
      <c r="E154" s="41">
        <v>2</v>
      </c>
      <c r="F154" s="41"/>
      <c r="G154" s="41"/>
      <c r="H154" s="41"/>
      <c r="I154" s="41"/>
      <c r="J154" s="41"/>
      <c r="K154" s="83"/>
      <c r="L154" s="36"/>
      <c r="M154" s="36"/>
      <c r="N154" s="36"/>
      <c r="O154" s="296"/>
      <c r="P154" s="228"/>
      <c r="Q154" s="36"/>
      <c r="R154" s="36"/>
      <c r="S154" s="36"/>
      <c r="T154" s="36"/>
      <c r="U154" s="63"/>
      <c r="V154" s="63"/>
    </row>
    <row r="155" spans="1:22" s="42" customFormat="1" ht="13.5">
      <c r="A155" s="37" t="s">
        <v>640</v>
      </c>
      <c r="B155" s="239" t="s">
        <v>645</v>
      </c>
      <c r="C155" s="240" t="s">
        <v>837</v>
      </c>
      <c r="D155" s="196" t="s">
        <v>189</v>
      </c>
      <c r="E155" s="41">
        <v>8</v>
      </c>
      <c r="F155" s="41"/>
      <c r="G155" s="41"/>
      <c r="H155" s="41"/>
      <c r="I155" s="41"/>
      <c r="J155" s="41"/>
      <c r="K155" s="83"/>
      <c r="L155" s="36"/>
      <c r="M155" s="36"/>
      <c r="N155" s="36"/>
      <c r="O155" s="296"/>
      <c r="P155" s="228"/>
      <c r="Q155" s="36"/>
      <c r="R155" s="36"/>
      <c r="S155" s="36"/>
      <c r="T155" s="36"/>
      <c r="U155" s="63"/>
      <c r="V155" s="63"/>
    </row>
    <row r="156" spans="1:22" ht="14.25">
      <c r="A156" s="67" t="s">
        <v>272</v>
      </c>
      <c r="B156" s="67"/>
      <c r="C156" s="67"/>
      <c r="D156" s="67"/>
      <c r="E156" s="67"/>
      <c r="F156" s="67"/>
      <c r="G156" s="67"/>
      <c r="H156" s="67"/>
      <c r="I156" s="67"/>
      <c r="J156" s="267"/>
      <c r="K156" s="260"/>
      <c r="L156" s="36"/>
      <c r="M156" s="36"/>
      <c r="N156" s="36"/>
      <c r="O156" s="296"/>
      <c r="P156" s="228"/>
      <c r="Q156" s="36"/>
      <c r="R156" s="36"/>
      <c r="S156" s="36"/>
      <c r="T156" s="36"/>
      <c r="U156" s="6"/>
      <c r="V156" s="6"/>
    </row>
    <row r="157" spans="1:22" s="73" customFormat="1" ht="13.5">
      <c r="A157" s="69" t="s">
        <v>273</v>
      </c>
      <c r="B157" s="70" t="s">
        <v>274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1"/>
      <c r="M157" s="72"/>
      <c r="N157" s="36"/>
      <c r="O157" s="296"/>
      <c r="P157" s="228"/>
      <c r="Q157" s="36"/>
      <c r="R157" s="72"/>
      <c r="S157" s="72"/>
      <c r="T157" s="72"/>
      <c r="U157" s="72"/>
      <c r="V157" s="72"/>
    </row>
    <row r="158" spans="1:22" s="194" customFormat="1" ht="14.25">
      <c r="A158" s="74" t="s">
        <v>275</v>
      </c>
      <c r="B158" s="120">
        <v>72075</v>
      </c>
      <c r="C158" s="76" t="s">
        <v>647</v>
      </c>
      <c r="D158" s="75" t="s">
        <v>23</v>
      </c>
      <c r="E158" s="41">
        <f>E175+E178+E179+E183</f>
        <v>1402.05275</v>
      </c>
      <c r="F158" s="76"/>
      <c r="G158" s="41"/>
      <c r="H158" s="76"/>
      <c r="I158" s="41"/>
      <c r="J158" s="41"/>
      <c r="K158" s="41"/>
      <c r="L158" s="71"/>
      <c r="M158" s="72"/>
      <c r="N158" s="36"/>
      <c r="O158" s="288"/>
      <c r="P158" s="242"/>
      <c r="Q158" s="36"/>
      <c r="R158" s="72"/>
      <c r="S158" s="72"/>
      <c r="T158" s="72"/>
      <c r="U158" s="72"/>
      <c r="V158" s="72"/>
    </row>
    <row r="159" spans="1:22" s="73" customFormat="1" ht="14.25">
      <c r="A159" s="79" t="s">
        <v>285</v>
      </c>
      <c r="B159" s="79"/>
      <c r="C159" s="79"/>
      <c r="D159" s="79"/>
      <c r="E159" s="79"/>
      <c r="F159" s="79"/>
      <c r="G159" s="79"/>
      <c r="H159" s="79"/>
      <c r="I159" s="79"/>
      <c r="J159" s="267"/>
      <c r="K159" s="267"/>
      <c r="L159" s="80"/>
      <c r="M159" s="72"/>
      <c r="N159" s="36"/>
      <c r="O159" s="36"/>
      <c r="P159" s="36"/>
      <c r="Q159" s="36"/>
      <c r="R159" s="72"/>
      <c r="S159" s="72"/>
      <c r="T159" s="72"/>
      <c r="U159" s="72"/>
      <c r="V159" s="72"/>
    </row>
    <row r="160" spans="1:22" ht="13.5">
      <c r="A160" s="34" t="s">
        <v>286</v>
      </c>
      <c r="B160" s="35" t="s">
        <v>287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6"/>
      <c r="M160" s="36"/>
      <c r="N160" s="36"/>
      <c r="O160" s="36"/>
      <c r="P160" s="36"/>
      <c r="Q160" s="36"/>
      <c r="R160" s="36"/>
      <c r="S160" s="36"/>
      <c r="T160" s="36"/>
      <c r="U160" s="6"/>
      <c r="V160" s="6"/>
    </row>
    <row r="161" spans="1:20" s="42" customFormat="1" ht="13.5">
      <c r="A161" s="118" t="s">
        <v>288</v>
      </c>
      <c r="B161" s="118"/>
      <c r="C161" s="244" t="s">
        <v>648</v>
      </c>
      <c r="D161" s="75" t="s">
        <v>391</v>
      </c>
      <c r="E161" s="119">
        <v>2</v>
      </c>
      <c r="F161" s="119"/>
      <c r="G161" s="119"/>
      <c r="H161" s="119"/>
      <c r="I161" s="119"/>
      <c r="J161" s="41"/>
      <c r="K161" s="41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s="42" customFormat="1" ht="13.5">
      <c r="A162" s="118" t="s">
        <v>289</v>
      </c>
      <c r="B162" s="118"/>
      <c r="C162" s="244" t="s">
        <v>649</v>
      </c>
      <c r="D162" s="75" t="s">
        <v>391</v>
      </c>
      <c r="E162" s="119">
        <v>1</v>
      </c>
      <c r="F162" s="119"/>
      <c r="G162" s="119"/>
      <c r="H162" s="119"/>
      <c r="I162" s="119"/>
      <c r="J162" s="41"/>
      <c r="K162" s="41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s="42" customFormat="1" ht="13.5">
      <c r="A163" s="118" t="s">
        <v>290</v>
      </c>
      <c r="B163" s="118"/>
      <c r="C163" s="244" t="s">
        <v>798</v>
      </c>
      <c r="D163" s="75" t="s">
        <v>391</v>
      </c>
      <c r="E163" s="119">
        <v>1</v>
      </c>
      <c r="F163" s="119"/>
      <c r="G163" s="119"/>
      <c r="H163" s="119"/>
      <c r="I163" s="119"/>
      <c r="J163" s="41"/>
      <c r="K163" s="41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s="42" customFormat="1" ht="13.5">
      <c r="A164" s="118" t="s">
        <v>291</v>
      </c>
      <c r="B164" s="118"/>
      <c r="C164" s="244" t="s">
        <v>651</v>
      </c>
      <c r="D164" s="75" t="s">
        <v>189</v>
      </c>
      <c r="E164" s="119">
        <v>7</v>
      </c>
      <c r="F164" s="119"/>
      <c r="G164" s="119"/>
      <c r="H164" s="119"/>
      <c r="I164" s="119"/>
      <c r="J164" s="41"/>
      <c r="K164" s="41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s="42" customFormat="1" ht="13.5">
      <c r="A165" s="118" t="s">
        <v>292</v>
      </c>
      <c r="B165" s="118"/>
      <c r="C165" s="244" t="s">
        <v>652</v>
      </c>
      <c r="D165" s="75" t="s">
        <v>391</v>
      </c>
      <c r="E165" s="119">
        <v>1</v>
      </c>
      <c r="F165" s="119"/>
      <c r="G165" s="119"/>
      <c r="H165" s="119"/>
      <c r="I165" s="119"/>
      <c r="J165" s="41"/>
      <c r="K165" s="41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s="42" customFormat="1" ht="13.5">
      <c r="A166" s="118" t="s">
        <v>293</v>
      </c>
      <c r="B166" s="118"/>
      <c r="C166" s="244" t="s">
        <v>653</v>
      </c>
      <c r="D166" s="75" t="s">
        <v>391</v>
      </c>
      <c r="E166" s="119">
        <v>1</v>
      </c>
      <c r="F166" s="119"/>
      <c r="G166" s="119"/>
      <c r="H166" s="119"/>
      <c r="I166" s="119"/>
      <c r="J166" s="41"/>
      <c r="K166" s="41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s="42" customFormat="1" ht="13.5">
      <c r="A167" s="118" t="s">
        <v>294</v>
      </c>
      <c r="B167" s="75" t="s">
        <v>484</v>
      </c>
      <c r="C167" s="244" t="s">
        <v>654</v>
      </c>
      <c r="D167" s="75" t="s">
        <v>391</v>
      </c>
      <c r="E167" s="119">
        <v>4</v>
      </c>
      <c r="F167" s="119"/>
      <c r="G167" s="119"/>
      <c r="H167" s="119"/>
      <c r="I167" s="119"/>
      <c r="J167" s="41"/>
      <c r="K167" s="41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s="42" customFormat="1" ht="13.5">
      <c r="A168" s="118" t="s">
        <v>295</v>
      </c>
      <c r="B168" s="118"/>
      <c r="C168" s="300" t="s">
        <v>655</v>
      </c>
      <c r="D168" s="75" t="s">
        <v>391</v>
      </c>
      <c r="E168" s="41">
        <v>4</v>
      </c>
      <c r="F168" s="41"/>
      <c r="G168" s="119"/>
      <c r="H168" s="41"/>
      <c r="I168" s="119"/>
      <c r="J168" s="41"/>
      <c r="K168" s="41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11" ht="14.25">
      <c r="A169" s="67" t="s">
        <v>298</v>
      </c>
      <c r="B169" s="67"/>
      <c r="C169" s="67"/>
      <c r="D169" s="67"/>
      <c r="E169" s="67"/>
      <c r="F169" s="67"/>
      <c r="G169" s="67"/>
      <c r="H169" s="67"/>
      <c r="I169" s="67"/>
      <c r="J169" s="267"/>
      <c r="K169" s="260"/>
    </row>
    <row r="170" spans="1:20" ht="13.5">
      <c r="A170" s="34" t="s">
        <v>299</v>
      </c>
      <c r="B170" s="35" t="s">
        <v>300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s="42" customFormat="1" ht="13.5">
      <c r="A171" s="37" t="s">
        <v>301</v>
      </c>
      <c r="B171" s="120">
        <v>5974</v>
      </c>
      <c r="C171" s="44" t="s">
        <v>656</v>
      </c>
      <c r="D171" s="40" t="s">
        <v>23</v>
      </c>
      <c r="E171" s="301">
        <f>(E55+E56+E57)*2</f>
        <v>1475.6</v>
      </c>
      <c r="F171" s="41"/>
      <c r="G171" s="41"/>
      <c r="H171" s="41"/>
      <c r="I171" s="41"/>
      <c r="J171" s="41"/>
      <c r="K171" s="41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s="42" customFormat="1" ht="13.5">
      <c r="A172" s="37" t="s">
        <v>303</v>
      </c>
      <c r="B172" s="120">
        <v>5975</v>
      </c>
      <c r="C172" s="44" t="s">
        <v>657</v>
      </c>
      <c r="D172" s="40" t="s">
        <v>23</v>
      </c>
      <c r="E172" s="301">
        <f>E13-(15.25*16)</f>
        <v>306.19000000000005</v>
      </c>
      <c r="F172" s="41"/>
      <c r="G172" s="41"/>
      <c r="H172" s="41"/>
      <c r="I172" s="41"/>
      <c r="J172" s="41"/>
      <c r="K172" s="41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s="42" customFormat="1" ht="23.25">
      <c r="A173" s="37" t="s">
        <v>304</v>
      </c>
      <c r="B173" s="120">
        <v>5982</v>
      </c>
      <c r="C173" s="44" t="s">
        <v>658</v>
      </c>
      <c r="D173" s="40" t="s">
        <v>23</v>
      </c>
      <c r="E173" s="301">
        <f>E172</f>
        <v>306.19000000000005</v>
      </c>
      <c r="F173" s="41"/>
      <c r="G173" s="41"/>
      <c r="H173" s="41"/>
      <c r="I173" s="41"/>
      <c r="J173" s="41"/>
      <c r="K173" s="41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s="42" customFormat="1" ht="23.25">
      <c r="A174" s="37" t="s">
        <v>305</v>
      </c>
      <c r="B174" s="120">
        <v>5992</v>
      </c>
      <c r="C174" s="44" t="s">
        <v>659</v>
      </c>
      <c r="D174" s="40" t="s">
        <v>23</v>
      </c>
      <c r="E174" s="301">
        <f>E171</f>
        <v>1475.6</v>
      </c>
      <c r="F174" s="41"/>
      <c r="G174" s="41"/>
      <c r="H174" s="41"/>
      <c r="I174" s="41"/>
      <c r="J174" s="41"/>
      <c r="K174" s="41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s="42" customFormat="1" ht="13.5">
      <c r="A175" s="37" t="s">
        <v>308</v>
      </c>
      <c r="B175" s="120" t="s">
        <v>660</v>
      </c>
      <c r="C175" s="44" t="s">
        <v>661</v>
      </c>
      <c r="D175" s="40" t="s">
        <v>23</v>
      </c>
      <c r="E175" s="41">
        <f>(2.85*(6.7+10.85+1.75+1.75))*1.1</f>
        <v>65.99175000000001</v>
      </c>
      <c r="F175" s="41"/>
      <c r="G175" s="41"/>
      <c r="H175" s="41"/>
      <c r="I175" s="41"/>
      <c r="J175" s="41"/>
      <c r="K175" s="41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s="42" customFormat="1" ht="15" customHeight="1">
      <c r="A176" s="37" t="s">
        <v>309</v>
      </c>
      <c r="B176" s="120">
        <v>9536</v>
      </c>
      <c r="C176" s="44" t="s">
        <v>663</v>
      </c>
      <c r="D176" s="40" t="s">
        <v>23</v>
      </c>
      <c r="E176" s="295">
        <f>(8.36*4)+(4.48*2)</f>
        <v>42.4</v>
      </c>
      <c r="F176" s="41"/>
      <c r="G176" s="41"/>
      <c r="H176" s="41"/>
      <c r="I176" s="41"/>
      <c r="J176" s="41"/>
      <c r="K176" s="41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s="42" customFormat="1" ht="15" customHeight="1">
      <c r="A177" s="37" t="s">
        <v>310</v>
      </c>
      <c r="B177" s="302" t="s">
        <v>664</v>
      </c>
      <c r="C177" s="303" t="s">
        <v>665</v>
      </c>
      <c r="D177" s="304" t="s">
        <v>23</v>
      </c>
      <c r="E177" s="305">
        <v>493.19</v>
      </c>
      <c r="F177" s="41"/>
      <c r="G177" s="41"/>
      <c r="H177" s="41"/>
      <c r="I177" s="41"/>
      <c r="J177" s="41"/>
      <c r="K177" s="41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s="42" customFormat="1" ht="24" customHeight="1">
      <c r="A178" s="37" t="s">
        <v>311</v>
      </c>
      <c r="B178" s="120" t="s">
        <v>666</v>
      </c>
      <c r="C178" s="291" t="s">
        <v>667</v>
      </c>
      <c r="D178" s="40" t="s">
        <v>23</v>
      </c>
      <c r="E178" s="39">
        <f>6.43+2.8+3.19</f>
        <v>12.42</v>
      </c>
      <c r="F178" s="41"/>
      <c r="G178" s="41"/>
      <c r="H178" s="41"/>
      <c r="I178" s="41"/>
      <c r="J178" s="41"/>
      <c r="K178" s="41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s="42" customFormat="1" ht="23.25">
      <c r="A179" s="37" t="s">
        <v>312</v>
      </c>
      <c r="B179" s="120" t="s">
        <v>838</v>
      </c>
      <c r="C179" s="47" t="s">
        <v>839</v>
      </c>
      <c r="D179" s="40" t="s">
        <v>23</v>
      </c>
      <c r="E179" s="41">
        <f>(3.06+3.19+6.34+107.54+7.35+17.67+10.44+(6.25*16)+(13.75*16))*1.1</f>
        <v>523.1490000000001</v>
      </c>
      <c r="F179" s="41"/>
      <c r="G179" s="41"/>
      <c r="H179" s="41"/>
      <c r="I179" s="41"/>
      <c r="J179" s="41"/>
      <c r="K179" s="41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s="42" customFormat="1" ht="13.5">
      <c r="A180" s="37" t="s">
        <v>668</v>
      </c>
      <c r="B180" s="120" t="s">
        <v>674</v>
      </c>
      <c r="C180" s="249" t="s">
        <v>675</v>
      </c>
      <c r="D180" s="40" t="s">
        <v>189</v>
      </c>
      <c r="E180" s="41">
        <f>((1*3.5)+(2*1.5)+(8*0.5)+(2*0.5))*1.1</f>
        <v>12.65</v>
      </c>
      <c r="F180" s="41"/>
      <c r="G180" s="41"/>
      <c r="H180" s="41"/>
      <c r="I180" s="41"/>
      <c r="J180" s="41"/>
      <c r="K180" s="41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s="42" customFormat="1" ht="13.5">
      <c r="A181" s="37" t="s">
        <v>671</v>
      </c>
      <c r="B181" s="120" t="s">
        <v>677</v>
      </c>
      <c r="C181" s="46" t="s">
        <v>678</v>
      </c>
      <c r="D181" s="40" t="s">
        <v>189</v>
      </c>
      <c r="E181" s="41">
        <f>((5*0.8)+(2*1.8)+(1*0.7)+(16*0.8)+(8*0.8))*1.1</f>
        <v>30.250000000000004</v>
      </c>
      <c r="F181" s="41"/>
      <c r="G181" s="41"/>
      <c r="H181" s="41"/>
      <c r="I181" s="41"/>
      <c r="J181" s="41"/>
      <c r="K181" s="41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s="42" customFormat="1" ht="13.5">
      <c r="A182" s="37" t="s">
        <v>673</v>
      </c>
      <c r="B182" s="120" t="s">
        <v>680</v>
      </c>
      <c r="C182" s="291" t="s">
        <v>681</v>
      </c>
      <c r="D182" s="40" t="s">
        <v>189</v>
      </c>
      <c r="E182" s="306">
        <f>3.7+0.8</f>
        <v>4.5</v>
      </c>
      <c r="F182" s="41"/>
      <c r="G182" s="41"/>
      <c r="H182" s="41"/>
      <c r="I182" s="41"/>
      <c r="J182" s="41"/>
      <c r="K182" s="41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s="42" customFormat="1" ht="23.25">
      <c r="A183" s="37" t="s">
        <v>676</v>
      </c>
      <c r="B183" s="120" t="s">
        <v>838</v>
      </c>
      <c r="C183" s="307" t="s">
        <v>840</v>
      </c>
      <c r="D183" s="40" t="s">
        <v>23</v>
      </c>
      <c r="E183" s="301">
        <f>(1.4*((10*16)+(13.8*16)+(24.2*2)+18.3+12.1+10.9+(12.2*2)+10.75+7.15+7))*1.1</f>
        <v>800.492</v>
      </c>
      <c r="F183" s="41"/>
      <c r="G183" s="41"/>
      <c r="H183" s="41"/>
      <c r="I183" s="41"/>
      <c r="J183" s="41"/>
      <c r="K183" s="41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3.5">
      <c r="A184" s="67" t="s">
        <v>313</v>
      </c>
      <c r="B184" s="67"/>
      <c r="C184" s="67"/>
      <c r="D184" s="67"/>
      <c r="E184" s="67"/>
      <c r="F184" s="67"/>
      <c r="G184" s="67"/>
      <c r="H184" s="67"/>
      <c r="I184" s="67"/>
      <c r="J184" s="53"/>
      <c r="K184" s="53"/>
      <c r="L184" s="68"/>
      <c r="M184" s="36"/>
      <c r="N184" s="36"/>
      <c r="O184" s="36"/>
      <c r="P184" s="36"/>
      <c r="Q184" s="36"/>
      <c r="R184" s="36"/>
      <c r="S184" s="36"/>
      <c r="T184" s="36"/>
    </row>
    <row r="185" spans="1:21" s="73" customFormat="1" ht="13.5">
      <c r="A185" s="69" t="s">
        <v>314</v>
      </c>
      <c r="B185" s="85" t="s">
        <v>315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71"/>
      <c r="M185" s="72"/>
      <c r="N185" s="72"/>
      <c r="O185" s="72"/>
      <c r="P185" s="72"/>
      <c r="Q185" s="72"/>
      <c r="R185" s="72"/>
      <c r="S185" s="72"/>
      <c r="T185" s="72"/>
      <c r="U185" s="72"/>
    </row>
    <row r="186" spans="1:21" s="78" customFormat="1" ht="13.5">
      <c r="A186" s="74" t="s">
        <v>316</v>
      </c>
      <c r="B186" s="253">
        <v>72120</v>
      </c>
      <c r="C186" s="76" t="s">
        <v>686</v>
      </c>
      <c r="D186" s="75" t="s">
        <v>23</v>
      </c>
      <c r="E186" s="301">
        <f>E62</f>
        <v>13.695</v>
      </c>
      <c r="F186" s="41"/>
      <c r="G186" s="41"/>
      <c r="H186" s="41"/>
      <c r="I186" s="41"/>
      <c r="J186" s="41"/>
      <c r="K186" s="41"/>
      <c r="L186" s="71"/>
      <c r="M186" s="72"/>
      <c r="N186" s="72"/>
      <c r="O186" s="72"/>
      <c r="P186" s="72"/>
      <c r="Q186" s="72"/>
      <c r="R186" s="72"/>
      <c r="S186" s="72"/>
      <c r="T186" s="72"/>
      <c r="U186" s="72"/>
    </row>
    <row r="187" spans="1:21" s="78" customFormat="1" ht="13.5">
      <c r="A187" s="74" t="s">
        <v>317</v>
      </c>
      <c r="B187" s="253">
        <v>72116</v>
      </c>
      <c r="C187" s="76" t="s">
        <v>841</v>
      </c>
      <c r="D187" s="75" t="s">
        <v>23</v>
      </c>
      <c r="E187" s="41">
        <f>3.5*0.6*1</f>
        <v>2.1000000000000005</v>
      </c>
      <c r="F187" s="41"/>
      <c r="G187" s="41"/>
      <c r="H187" s="41"/>
      <c r="I187" s="41"/>
      <c r="J187" s="41"/>
      <c r="K187" s="41"/>
      <c r="L187" s="71"/>
      <c r="M187" s="72"/>
      <c r="N187" s="72"/>
      <c r="O187" s="72"/>
      <c r="P187" s="72"/>
      <c r="Q187" s="72"/>
      <c r="R187" s="72"/>
      <c r="S187" s="72"/>
      <c r="T187" s="72"/>
      <c r="U187" s="72"/>
    </row>
    <row r="188" spans="1:21" s="78" customFormat="1" ht="13.5">
      <c r="A188" s="74" t="s">
        <v>318</v>
      </c>
      <c r="B188" s="253">
        <v>72116</v>
      </c>
      <c r="C188" s="76" t="s">
        <v>842</v>
      </c>
      <c r="D188" s="75" t="s">
        <v>23</v>
      </c>
      <c r="E188" s="41">
        <f>1.5*1.2*2</f>
        <v>3.5999999999999996</v>
      </c>
      <c r="F188" s="41"/>
      <c r="G188" s="41"/>
      <c r="H188" s="41"/>
      <c r="I188" s="41"/>
      <c r="J188" s="41"/>
      <c r="K188" s="41"/>
      <c r="L188" s="71"/>
      <c r="M188" s="72"/>
      <c r="N188" s="72"/>
      <c r="O188" s="72"/>
      <c r="P188" s="72"/>
      <c r="Q188" s="72"/>
      <c r="R188" s="72"/>
      <c r="S188" s="72"/>
      <c r="T188" s="72"/>
      <c r="U188" s="72"/>
    </row>
    <row r="189" spans="1:21" s="78" customFormat="1" ht="13.5">
      <c r="A189" s="74" t="s">
        <v>319</v>
      </c>
      <c r="B189" s="308">
        <v>72122</v>
      </c>
      <c r="C189" s="309" t="s">
        <v>804</v>
      </c>
      <c r="D189" s="75" t="s">
        <v>23</v>
      </c>
      <c r="E189" s="41">
        <f>0.5*0.6*8</f>
        <v>2.4000000000000004</v>
      </c>
      <c r="F189" s="41"/>
      <c r="G189" s="41"/>
      <c r="H189" s="41"/>
      <c r="I189" s="41"/>
      <c r="J189" s="41"/>
      <c r="K189" s="41"/>
      <c r="L189" s="71"/>
      <c r="M189" s="72"/>
      <c r="N189" s="72"/>
      <c r="O189" s="72"/>
      <c r="P189" s="72"/>
      <c r="Q189" s="72"/>
      <c r="R189" s="72"/>
      <c r="S189" s="72"/>
      <c r="T189" s="72"/>
      <c r="U189" s="72"/>
    </row>
    <row r="190" spans="1:21" s="78" customFormat="1" ht="13.5">
      <c r="A190" s="74" t="s">
        <v>320</v>
      </c>
      <c r="B190" s="253">
        <v>72116</v>
      </c>
      <c r="C190" s="76" t="s">
        <v>805</v>
      </c>
      <c r="D190" s="75" t="s">
        <v>23</v>
      </c>
      <c r="E190" s="41">
        <f>0.5*1.6*2</f>
        <v>1.6</v>
      </c>
      <c r="F190" s="41"/>
      <c r="G190" s="41"/>
      <c r="H190" s="41"/>
      <c r="I190" s="41"/>
      <c r="J190" s="41"/>
      <c r="K190" s="41"/>
      <c r="L190" s="71"/>
      <c r="M190" s="72"/>
      <c r="N190" s="72"/>
      <c r="O190" s="72"/>
      <c r="P190" s="72"/>
      <c r="Q190" s="72"/>
      <c r="R190" s="72"/>
      <c r="S190" s="72"/>
      <c r="T190" s="72"/>
      <c r="U190" s="72"/>
    </row>
    <row r="191" spans="1:21" s="73" customFormat="1" ht="13.5">
      <c r="A191" s="122" t="s">
        <v>326</v>
      </c>
      <c r="B191" s="122"/>
      <c r="C191" s="122"/>
      <c r="D191" s="122"/>
      <c r="E191" s="122"/>
      <c r="F191" s="122"/>
      <c r="G191" s="122"/>
      <c r="H191" s="122"/>
      <c r="I191" s="122"/>
      <c r="J191" s="53"/>
      <c r="K191" s="53"/>
      <c r="L191" s="80"/>
      <c r="M191" s="72"/>
      <c r="N191" s="72"/>
      <c r="O191" s="72"/>
      <c r="P191" s="72"/>
      <c r="Q191" s="72"/>
      <c r="R191" s="72"/>
      <c r="S191" s="72"/>
      <c r="T191" s="72"/>
      <c r="U191" s="72"/>
    </row>
    <row r="192" spans="1:20" s="42" customFormat="1" ht="13.5">
      <c r="A192" s="34" t="s">
        <v>327</v>
      </c>
      <c r="B192" s="123" t="s">
        <v>328</v>
      </c>
      <c r="C192" s="123"/>
      <c r="D192" s="123"/>
      <c r="E192" s="123"/>
      <c r="F192" s="123"/>
      <c r="G192" s="123"/>
      <c r="H192" s="123"/>
      <c r="I192" s="123"/>
      <c r="J192" s="123"/>
      <c r="K192" s="123"/>
      <c r="L192" s="68"/>
      <c r="M192" s="36"/>
      <c r="N192" s="36"/>
      <c r="O192" s="36"/>
      <c r="P192" s="36"/>
      <c r="Q192" s="36"/>
      <c r="R192" s="36"/>
      <c r="S192" s="36"/>
      <c r="T192" s="36"/>
    </row>
    <row r="193" spans="1:20" s="42" customFormat="1" ht="13.5">
      <c r="A193" s="37" t="s">
        <v>329</v>
      </c>
      <c r="B193" s="38" t="s">
        <v>692</v>
      </c>
      <c r="C193" s="46" t="s">
        <v>693</v>
      </c>
      <c r="D193" s="40" t="s">
        <v>23</v>
      </c>
      <c r="E193" s="301">
        <f>E171+E172-(E175/1.1)-(E183/1.1)</f>
        <v>994.0775</v>
      </c>
      <c r="F193" s="41"/>
      <c r="G193" s="41"/>
      <c r="H193" s="41"/>
      <c r="I193" s="41"/>
      <c r="J193" s="41"/>
      <c r="K193" s="41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s="42" customFormat="1" ht="13.5">
      <c r="A194" s="37" t="s">
        <v>330</v>
      </c>
      <c r="B194" s="38" t="s">
        <v>694</v>
      </c>
      <c r="C194" s="46" t="s">
        <v>695</v>
      </c>
      <c r="D194" s="40" t="s">
        <v>23</v>
      </c>
      <c r="E194" s="301">
        <f>E193</f>
        <v>994.0775</v>
      </c>
      <c r="F194" s="41"/>
      <c r="G194" s="41"/>
      <c r="H194" s="41"/>
      <c r="I194" s="41"/>
      <c r="J194" s="41"/>
      <c r="K194" s="41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s="42" customFormat="1" ht="13.5">
      <c r="A195" s="37" t="s">
        <v>331</v>
      </c>
      <c r="B195" s="38" t="s">
        <v>696</v>
      </c>
      <c r="C195" s="46" t="s">
        <v>697</v>
      </c>
      <c r="D195" s="40" t="s">
        <v>23</v>
      </c>
      <c r="E195" s="41">
        <f>E176*1.15</f>
        <v>48.76</v>
      </c>
      <c r="F195" s="41"/>
      <c r="G195" s="41"/>
      <c r="H195" s="41"/>
      <c r="I195" s="41"/>
      <c r="J195" s="41"/>
      <c r="K195" s="41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s="42" customFormat="1" ht="13.5">
      <c r="A196" s="37" t="s">
        <v>331</v>
      </c>
      <c r="B196" s="120">
        <v>6082</v>
      </c>
      <c r="C196" s="46" t="s">
        <v>698</v>
      </c>
      <c r="D196" s="40" t="s">
        <v>23</v>
      </c>
      <c r="E196" s="41">
        <f>(0.8*2.1*3*5)+(0.7*2.1*3*1)</f>
        <v>29.610000000000003</v>
      </c>
      <c r="F196" s="41"/>
      <c r="G196" s="41"/>
      <c r="H196" s="41"/>
      <c r="I196" s="41"/>
      <c r="J196" s="41"/>
      <c r="K196" s="41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s="42" customFormat="1" ht="14.25">
      <c r="A197" s="67" t="s">
        <v>339</v>
      </c>
      <c r="B197" s="67"/>
      <c r="C197" s="67"/>
      <c r="D197" s="67"/>
      <c r="E197" s="67"/>
      <c r="F197" s="67"/>
      <c r="G197" s="67"/>
      <c r="H197" s="67"/>
      <c r="I197" s="67"/>
      <c r="J197" s="267"/>
      <c r="K197" s="267"/>
      <c r="L197" s="68"/>
      <c r="M197" s="36"/>
      <c r="N197" s="36"/>
      <c r="O197" s="36"/>
      <c r="P197" s="36"/>
      <c r="Q197" s="36"/>
      <c r="R197" s="36"/>
      <c r="S197" s="36"/>
      <c r="T197" s="36"/>
    </row>
    <row r="198" spans="1:22" s="73" customFormat="1" ht="13.5">
      <c r="A198" s="69" t="s">
        <v>340</v>
      </c>
      <c r="B198" s="70" t="s">
        <v>341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1"/>
      <c r="M198" s="72"/>
      <c r="N198" s="72"/>
      <c r="O198" s="72"/>
      <c r="P198" s="72"/>
      <c r="Q198" s="72"/>
      <c r="R198" s="72"/>
      <c r="S198" s="72"/>
      <c r="T198" s="72"/>
      <c r="U198" s="72"/>
      <c r="V198" s="72"/>
    </row>
    <row r="199" spans="1:22" s="73" customFormat="1" ht="13.5">
      <c r="A199" s="69" t="s">
        <v>342</v>
      </c>
      <c r="B199" s="139" t="s">
        <v>354</v>
      </c>
      <c r="C199" s="131" t="s">
        <v>699</v>
      </c>
      <c r="D199" s="140" t="s">
        <v>23</v>
      </c>
      <c r="E199" s="76">
        <f>645.04-557.7</f>
        <v>87.33999999999992</v>
      </c>
      <c r="F199" s="141"/>
      <c r="G199" s="41"/>
      <c r="H199" s="41"/>
      <c r="I199" s="41"/>
      <c r="J199" s="41"/>
      <c r="K199" s="41"/>
      <c r="L199" s="71"/>
      <c r="M199" s="72"/>
      <c r="N199" s="72"/>
      <c r="O199" s="72"/>
      <c r="P199" s="72"/>
      <c r="Q199" s="72"/>
      <c r="R199" s="72"/>
      <c r="S199" s="72"/>
      <c r="T199" s="72"/>
      <c r="U199" s="72"/>
      <c r="V199" s="72"/>
    </row>
    <row r="200" spans="1:22" s="73" customFormat="1" ht="14.25">
      <c r="A200" s="79" t="s">
        <v>405</v>
      </c>
      <c r="B200" s="79"/>
      <c r="C200" s="79"/>
      <c r="D200" s="79"/>
      <c r="E200" s="79"/>
      <c r="F200" s="79"/>
      <c r="G200" s="79"/>
      <c r="H200" s="79"/>
      <c r="I200" s="79"/>
      <c r="J200" s="267"/>
      <c r="K200" s="267"/>
      <c r="L200" s="80"/>
      <c r="M200" s="72"/>
      <c r="N200" s="72"/>
      <c r="O200" s="72"/>
      <c r="P200" s="72"/>
      <c r="Q200" s="72"/>
      <c r="R200" s="72"/>
      <c r="S200" s="72"/>
      <c r="T200" s="72"/>
      <c r="U200" s="72"/>
      <c r="V200" s="72"/>
    </row>
    <row r="201" spans="1:12" ht="13.5">
      <c r="A201" s="34" t="s">
        <v>406</v>
      </c>
      <c r="B201" s="143" t="s">
        <v>407</v>
      </c>
      <c r="C201" s="143"/>
      <c r="D201" s="143"/>
      <c r="E201" s="143"/>
      <c r="F201" s="143"/>
      <c r="G201" s="143"/>
      <c r="H201" s="143"/>
      <c r="I201" s="143"/>
      <c r="J201" s="143"/>
      <c r="K201" s="143"/>
      <c r="L201" s="144"/>
    </row>
    <row r="202" spans="1:11" s="42" customFormat="1" ht="13.5">
      <c r="A202" s="37" t="s">
        <v>408</v>
      </c>
      <c r="B202" s="120">
        <v>9537</v>
      </c>
      <c r="C202" s="36" t="s">
        <v>700</v>
      </c>
      <c r="D202" s="40" t="s">
        <v>23</v>
      </c>
      <c r="E202" s="301">
        <f>E13</f>
        <v>550.19</v>
      </c>
      <c r="F202" s="41"/>
      <c r="G202" s="41"/>
      <c r="H202" s="41"/>
      <c r="I202" s="41"/>
      <c r="J202" s="41"/>
      <c r="K202" s="41"/>
    </row>
    <row r="203" spans="1:11" ht="14.25">
      <c r="A203" s="67" t="s">
        <v>424</v>
      </c>
      <c r="B203" s="67"/>
      <c r="C203" s="67"/>
      <c r="D203" s="67"/>
      <c r="E203" s="67"/>
      <c r="F203" s="67"/>
      <c r="G203" s="67"/>
      <c r="H203" s="67"/>
      <c r="I203" s="67"/>
      <c r="J203" s="267"/>
      <c r="K203" s="260"/>
    </row>
    <row r="204" spans="1:11" s="151" customFormat="1" ht="13.5">
      <c r="A204" s="148"/>
      <c r="B204" s="149"/>
      <c r="C204" s="150"/>
      <c r="D204" s="150"/>
      <c r="E204" s="150"/>
      <c r="F204" s="150"/>
      <c r="G204" s="150"/>
      <c r="H204" s="150"/>
      <c r="I204" s="150"/>
      <c r="J204" s="150"/>
      <c r="K204" s="150"/>
    </row>
    <row r="205" spans="1:11" s="154" customFormat="1" ht="15.75">
      <c r="A205" s="152" t="s">
        <v>425</v>
      </c>
      <c r="B205" s="152"/>
      <c r="C205" s="152"/>
      <c r="D205" s="152"/>
      <c r="E205" s="152"/>
      <c r="F205" s="152"/>
      <c r="G205" s="152"/>
      <c r="H205" s="152"/>
      <c r="I205" s="152"/>
      <c r="J205" s="153"/>
      <c r="K205" s="153"/>
    </row>
  </sheetData>
  <sheetProtection selectLockedCells="1" selectUnlockedCells="1"/>
  <mergeCells count="48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O9"/>
    <mergeCell ref="P9:T9"/>
    <mergeCell ref="B11:K11"/>
    <mergeCell ref="A14:I14"/>
    <mergeCell ref="B15:K15"/>
    <mergeCell ref="A22:I22"/>
    <mergeCell ref="B23:K23"/>
    <mergeCell ref="A32:I32"/>
    <mergeCell ref="B33:K33"/>
    <mergeCell ref="A53:I53"/>
    <mergeCell ref="B54:K54"/>
    <mergeCell ref="A60:I60"/>
    <mergeCell ref="B61:K61"/>
    <mergeCell ref="A75:I75"/>
    <mergeCell ref="B76:K76"/>
    <mergeCell ref="A82:I82"/>
    <mergeCell ref="B83:K83"/>
    <mergeCell ref="A104:I104"/>
    <mergeCell ref="B105:K105"/>
    <mergeCell ref="A113:I113"/>
    <mergeCell ref="B114:K114"/>
    <mergeCell ref="A156:I156"/>
    <mergeCell ref="B157:K157"/>
    <mergeCell ref="A159:I159"/>
    <mergeCell ref="B160:K160"/>
    <mergeCell ref="A169:I169"/>
    <mergeCell ref="B170:K170"/>
    <mergeCell ref="A184:I184"/>
    <mergeCell ref="B185:K185"/>
    <mergeCell ref="A191:I191"/>
    <mergeCell ref="B192:K192"/>
    <mergeCell ref="A197:I197"/>
    <mergeCell ref="B198:K198"/>
    <mergeCell ref="A200:I200"/>
    <mergeCell ref="B201:K201"/>
    <mergeCell ref="A203:I203"/>
    <mergeCell ref="C204:K204"/>
    <mergeCell ref="A205:I205"/>
  </mergeCells>
  <printOptions/>
  <pageMargins left="0.5118055555555555" right="0.5118055555555555" top="0.7875" bottom="0.7875" header="0.5118055555555555" footer="0.31527777777777777"/>
  <pageSetup fitToHeight="10" fitToWidth="1" horizontalDpi="300" verticalDpi="300" orientation="landscape" paperSize="77"/>
  <headerFooter alignWithMargins="0">
    <oddFooter>&amp;L&amp;"Calibri,Regular"&amp;11CANIL&amp;C&amp;"Calibri,Regular"&amp;11Página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8"/>
  <sheetViews>
    <sheetView zoomScale="90" zoomScaleNormal="9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6.28125" style="1" customWidth="1"/>
    <col min="2" max="2" width="12.421875" style="1" customWidth="1"/>
    <col min="3" max="3" width="70.28125" style="2" customWidth="1"/>
    <col min="4" max="4" width="10.140625" style="3" customWidth="1"/>
    <col min="5" max="5" width="11.8515625" style="4" customWidth="1"/>
    <col min="6" max="9" width="17.28125" style="2" customWidth="1"/>
    <col min="10" max="11" width="14.421875" style="2" customWidth="1"/>
    <col min="12" max="12" width="10.421875" style="2" customWidth="1"/>
    <col min="13" max="13" width="9.421875" style="2" customWidth="1"/>
    <col min="14" max="14" width="13.8515625" style="2" customWidth="1"/>
    <col min="15" max="18" width="9.421875" style="2" customWidth="1"/>
    <col min="19" max="19" width="14.140625" style="2" customWidth="1"/>
    <col min="20" max="16384" width="9.421875" style="2" customWidth="1"/>
  </cols>
  <sheetData>
    <row r="1" spans="1:11" s="6" customFormat="1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4:8" ht="14.25">
      <c r="D2" s="7"/>
      <c r="E2" s="8"/>
      <c r="F2" s="3"/>
      <c r="G2" s="3"/>
      <c r="H2" s="3"/>
    </row>
    <row r="3" spans="4:11" ht="18">
      <c r="D3" s="9" t="s">
        <v>843</v>
      </c>
      <c r="E3" s="10"/>
      <c r="F3" s="10"/>
      <c r="G3" s="10"/>
      <c r="H3" s="11"/>
      <c r="J3" s="12"/>
      <c r="K3" s="13"/>
    </row>
    <row r="4" spans="4:11" ht="14.25">
      <c r="D4" s="14" t="s">
        <v>2</v>
      </c>
      <c r="E4" s="15"/>
      <c r="F4" s="16"/>
      <c r="G4" s="16"/>
      <c r="H4" s="17"/>
      <c r="J4" s="18"/>
      <c r="K4" s="13"/>
    </row>
    <row r="5" spans="4:11" ht="14.25">
      <c r="D5" s="19" t="s">
        <v>844</v>
      </c>
      <c r="E5" s="19"/>
      <c r="F5" s="19"/>
      <c r="G5" s="19"/>
      <c r="H5" s="17"/>
      <c r="J5" s="18"/>
      <c r="K5" s="13"/>
    </row>
    <row r="6" spans="4:11" ht="14.25">
      <c r="D6" s="20" t="s">
        <v>811</v>
      </c>
      <c r="E6" s="20"/>
      <c r="F6" s="20"/>
      <c r="G6" s="20"/>
      <c r="H6" s="17"/>
      <c r="J6" s="18"/>
      <c r="K6" s="13"/>
    </row>
    <row r="7" spans="4:11" ht="14.25">
      <c r="D7" s="19" t="s">
        <v>5</v>
      </c>
      <c r="E7" s="19"/>
      <c r="F7" s="19"/>
      <c r="G7" s="19"/>
      <c r="H7" s="17"/>
      <c r="J7" s="18"/>
      <c r="K7" s="13"/>
    </row>
    <row r="8" spans="10:11" ht="14.25">
      <c r="J8" s="13"/>
      <c r="K8" s="13"/>
    </row>
    <row r="9" spans="1:20" s="6" customFormat="1" ht="15" customHeight="1">
      <c r="A9" s="21" t="s">
        <v>6</v>
      </c>
      <c r="B9" s="21" t="s">
        <v>7</v>
      </c>
      <c r="C9" s="21" t="s">
        <v>8</v>
      </c>
      <c r="D9" s="21" t="s">
        <v>9</v>
      </c>
      <c r="E9" s="22" t="s">
        <v>10</v>
      </c>
      <c r="F9" s="21" t="s">
        <v>11</v>
      </c>
      <c r="G9" s="21"/>
      <c r="H9" s="23" t="s">
        <v>12</v>
      </c>
      <c r="I9" s="23"/>
      <c r="J9" s="24" t="s">
        <v>13</v>
      </c>
      <c r="K9" s="25" t="s">
        <v>14</v>
      </c>
      <c r="L9" s="26"/>
      <c r="M9" s="26"/>
      <c r="N9" s="26"/>
      <c r="O9" s="26"/>
      <c r="P9" s="27"/>
      <c r="Q9" s="27"/>
      <c r="R9" s="27"/>
      <c r="S9" s="27"/>
      <c r="T9" s="27"/>
    </row>
    <row r="10" spans="1:20" ht="13.5">
      <c r="A10" s="21"/>
      <c r="B10" s="21"/>
      <c r="C10" s="21"/>
      <c r="D10" s="21"/>
      <c r="E10" s="22"/>
      <c r="F10" s="28" t="s">
        <v>15</v>
      </c>
      <c r="G10" s="29" t="s">
        <v>16</v>
      </c>
      <c r="H10" s="29" t="s">
        <v>15</v>
      </c>
      <c r="I10" s="29" t="s">
        <v>16</v>
      </c>
      <c r="J10" s="29" t="s">
        <v>17</v>
      </c>
      <c r="K10" s="31">
        <f>E4</f>
        <v>0</v>
      </c>
      <c r="L10" s="32"/>
      <c r="M10" s="33"/>
      <c r="N10" s="33"/>
      <c r="O10" s="33"/>
      <c r="P10" s="32"/>
      <c r="Q10" s="32"/>
      <c r="R10" s="33"/>
      <c r="S10" s="33"/>
      <c r="T10" s="32"/>
    </row>
    <row r="11" spans="1:20" ht="13.5">
      <c r="A11" s="34" t="s">
        <v>18</v>
      </c>
      <c r="B11" s="3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42" customFormat="1" ht="13.5">
      <c r="A12" s="37" t="s">
        <v>20</v>
      </c>
      <c r="B12" s="43">
        <v>73672</v>
      </c>
      <c r="C12" s="39" t="s">
        <v>25</v>
      </c>
      <c r="D12" s="40" t="s">
        <v>23</v>
      </c>
      <c r="E12" s="41">
        <v>215.94</v>
      </c>
      <c r="F12" s="41"/>
      <c r="G12" s="41"/>
      <c r="H12" s="41"/>
      <c r="I12" s="41"/>
      <c r="J12" s="41"/>
      <c r="K12" s="41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2" customFormat="1" ht="23.25">
      <c r="A13" s="37" t="s">
        <v>24</v>
      </c>
      <c r="B13" s="38" t="s">
        <v>42</v>
      </c>
      <c r="C13" s="44" t="s">
        <v>43</v>
      </c>
      <c r="D13" s="40" t="s">
        <v>23</v>
      </c>
      <c r="E13" s="41">
        <v>168.36</v>
      </c>
      <c r="F13" s="41"/>
      <c r="G13" s="41"/>
      <c r="H13" s="41"/>
      <c r="I13" s="41"/>
      <c r="J13" s="41"/>
      <c r="K13" s="41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3.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3"/>
      <c r="K14" s="54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3.5">
      <c r="A15" s="34" t="s">
        <v>65</v>
      </c>
      <c r="B15" s="35" t="s">
        <v>66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42" customFormat="1" ht="13.5">
      <c r="A16" s="56" t="s">
        <v>67</v>
      </c>
      <c r="B16" s="57" t="s">
        <v>68</v>
      </c>
      <c r="C16" s="58" t="s">
        <v>69</v>
      </c>
      <c r="D16" s="40" t="s">
        <v>346</v>
      </c>
      <c r="E16" s="41">
        <f>E12*1</f>
        <v>215.94</v>
      </c>
      <c r="F16" s="41"/>
      <c r="G16" s="41"/>
      <c r="H16" s="41"/>
      <c r="I16" s="41"/>
      <c r="J16" s="41"/>
      <c r="K16" s="41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42" customFormat="1" ht="13.5">
      <c r="A17" s="56" t="s">
        <v>430</v>
      </c>
      <c r="B17" s="57" t="s">
        <v>428</v>
      </c>
      <c r="C17" s="58" t="s">
        <v>429</v>
      </c>
      <c r="D17" s="40" t="s">
        <v>23</v>
      </c>
      <c r="E17" s="41">
        <f>E13/1.5</f>
        <v>112.24000000000001</v>
      </c>
      <c r="F17" s="41"/>
      <c r="G17" s="41"/>
      <c r="H17" s="41"/>
      <c r="I17" s="41"/>
      <c r="J17" s="41"/>
      <c r="K17" s="41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42" customFormat="1" ht="13.5">
      <c r="A18" s="56" t="s">
        <v>70</v>
      </c>
      <c r="B18" s="174" t="s">
        <v>432</v>
      </c>
      <c r="C18" s="58" t="s">
        <v>433</v>
      </c>
      <c r="D18" s="40" t="s">
        <v>346</v>
      </c>
      <c r="E18" s="41">
        <v>42.21</v>
      </c>
      <c r="F18" s="41"/>
      <c r="G18" s="41"/>
      <c r="H18" s="41"/>
      <c r="I18" s="41"/>
      <c r="J18" s="41"/>
      <c r="K18" s="41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42" customFormat="1" ht="13.5">
      <c r="A19" s="56" t="s">
        <v>71</v>
      </c>
      <c r="B19" s="174" t="s">
        <v>434</v>
      </c>
      <c r="C19" s="58" t="s">
        <v>435</v>
      </c>
      <c r="D19" s="177" t="s">
        <v>23</v>
      </c>
      <c r="E19" s="41">
        <v>149.48</v>
      </c>
      <c r="F19" s="41"/>
      <c r="G19" s="41"/>
      <c r="H19" s="41"/>
      <c r="I19" s="41"/>
      <c r="J19" s="41"/>
      <c r="K19" s="41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42" customFormat="1" ht="23.25">
      <c r="A20" s="56" t="s">
        <v>72</v>
      </c>
      <c r="B20" s="174">
        <v>72915</v>
      </c>
      <c r="C20" s="58" t="s">
        <v>431</v>
      </c>
      <c r="D20" s="40" t="s">
        <v>346</v>
      </c>
      <c r="E20" s="41">
        <v>28.84</v>
      </c>
      <c r="F20" s="41"/>
      <c r="G20" s="41"/>
      <c r="H20" s="41"/>
      <c r="I20" s="41"/>
      <c r="J20" s="41"/>
      <c r="K20" s="41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173" customFormat="1" ht="14.25">
      <c r="A21" s="56" t="s">
        <v>73</v>
      </c>
      <c r="B21" s="174">
        <v>6430</v>
      </c>
      <c r="C21" s="58" t="s">
        <v>359</v>
      </c>
      <c r="D21" s="40" t="s">
        <v>346</v>
      </c>
      <c r="E21" s="41">
        <v>27.68</v>
      </c>
      <c r="F21" s="41"/>
      <c r="G21" s="41"/>
      <c r="H21" s="41"/>
      <c r="I21" s="41"/>
      <c r="J21" s="41"/>
      <c r="K21" s="41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4.25">
      <c r="A22" s="67" t="s">
        <v>80</v>
      </c>
      <c r="B22" s="67"/>
      <c r="C22" s="67"/>
      <c r="D22" s="67"/>
      <c r="E22" s="67"/>
      <c r="F22" s="67"/>
      <c r="G22" s="67"/>
      <c r="H22" s="67"/>
      <c r="I22" s="67"/>
      <c r="J22" s="53"/>
      <c r="K22" s="260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3.5">
      <c r="A23" s="34" t="s">
        <v>81</v>
      </c>
      <c r="B23" s="35" t="s">
        <v>82</v>
      </c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42" customFormat="1" ht="13.5">
      <c r="A24" s="37" t="s">
        <v>83</v>
      </c>
      <c r="B24" s="37"/>
      <c r="C24" s="176" t="s">
        <v>436</v>
      </c>
      <c r="D24" s="177" t="s">
        <v>23</v>
      </c>
      <c r="E24" s="178">
        <v>133.5</v>
      </c>
      <c r="F24" s="178"/>
      <c r="G24" s="178"/>
      <c r="H24" s="178"/>
      <c r="I24" s="178"/>
      <c r="J24" s="178"/>
      <c r="K24" s="178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42" customFormat="1" ht="13.5">
      <c r="A25" s="37" t="s">
        <v>84</v>
      </c>
      <c r="B25" s="37" t="s">
        <v>437</v>
      </c>
      <c r="C25" s="176" t="s">
        <v>438</v>
      </c>
      <c r="D25" s="177" t="s">
        <v>346</v>
      </c>
      <c r="E25" s="178">
        <v>6.6</v>
      </c>
      <c r="F25" s="178"/>
      <c r="G25" s="178"/>
      <c r="H25" s="178"/>
      <c r="I25" s="178"/>
      <c r="J25" s="178"/>
      <c r="K25" s="178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2" customFormat="1" ht="13.5">
      <c r="A26" s="37" t="s">
        <v>85</v>
      </c>
      <c r="B26" s="37" t="s">
        <v>439</v>
      </c>
      <c r="C26" s="176" t="s">
        <v>440</v>
      </c>
      <c r="D26" s="177" t="s">
        <v>346</v>
      </c>
      <c r="E26" s="178">
        <v>6.6</v>
      </c>
      <c r="F26" s="178"/>
      <c r="G26" s="178"/>
      <c r="H26" s="178"/>
      <c r="I26" s="178"/>
      <c r="J26" s="178"/>
      <c r="K26" s="178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13.5">
      <c r="A27" s="37" t="s">
        <v>86</v>
      </c>
      <c r="B27" s="37"/>
      <c r="C27" s="176" t="s">
        <v>441</v>
      </c>
      <c r="D27" s="177" t="s">
        <v>346</v>
      </c>
      <c r="E27" s="178">
        <v>1.31</v>
      </c>
      <c r="F27" s="178"/>
      <c r="G27" s="178"/>
      <c r="H27" s="178"/>
      <c r="I27" s="178"/>
      <c r="J27" s="178"/>
      <c r="K27" s="178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42" customFormat="1" ht="13.5">
      <c r="A28" s="37" t="s">
        <v>87</v>
      </c>
      <c r="B28" s="37"/>
      <c r="C28" s="176" t="s">
        <v>442</v>
      </c>
      <c r="D28" s="177" t="s">
        <v>346</v>
      </c>
      <c r="E28" s="178">
        <v>11.78</v>
      </c>
      <c r="F28" s="178"/>
      <c r="G28" s="178"/>
      <c r="H28" s="178"/>
      <c r="I28" s="178"/>
      <c r="J28" s="178"/>
      <c r="K28" s="178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42" customFormat="1" ht="13.5">
      <c r="A29" s="37" t="s">
        <v>88</v>
      </c>
      <c r="B29" s="37" t="s">
        <v>439</v>
      </c>
      <c r="C29" s="176" t="s">
        <v>443</v>
      </c>
      <c r="D29" s="177" t="s">
        <v>346</v>
      </c>
      <c r="E29" s="178">
        <v>11.78</v>
      </c>
      <c r="F29" s="178"/>
      <c r="G29" s="178"/>
      <c r="H29" s="178"/>
      <c r="I29" s="178"/>
      <c r="J29" s="178"/>
      <c r="K29" s="178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42" customFormat="1" ht="13.5">
      <c r="A30" s="37" t="s">
        <v>89</v>
      </c>
      <c r="B30" s="37"/>
      <c r="C30" s="176" t="s">
        <v>444</v>
      </c>
      <c r="D30" s="177" t="s">
        <v>23</v>
      </c>
      <c r="E30" s="178">
        <v>20.2</v>
      </c>
      <c r="F30" s="178"/>
      <c r="G30" s="178"/>
      <c r="H30" s="178"/>
      <c r="I30" s="178"/>
      <c r="J30" s="178"/>
      <c r="K30" s="178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42" customFormat="1" ht="23.25">
      <c r="A31" s="37" t="s">
        <v>90</v>
      </c>
      <c r="B31" s="179" t="s">
        <v>445</v>
      </c>
      <c r="C31" s="180" t="s">
        <v>446</v>
      </c>
      <c r="D31" s="177" t="s">
        <v>447</v>
      </c>
      <c r="E31" s="178">
        <v>222.2</v>
      </c>
      <c r="F31" s="178"/>
      <c r="G31" s="178"/>
      <c r="H31" s="178"/>
      <c r="I31" s="178"/>
      <c r="J31" s="178"/>
      <c r="K31" s="178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3.5">
      <c r="A32" s="67" t="s">
        <v>93</v>
      </c>
      <c r="B32" s="67"/>
      <c r="C32" s="67"/>
      <c r="D32" s="67"/>
      <c r="E32" s="67"/>
      <c r="F32" s="67"/>
      <c r="G32" s="67"/>
      <c r="H32" s="67"/>
      <c r="I32" s="67"/>
      <c r="J32" s="53"/>
      <c r="K32" s="53"/>
      <c r="L32" s="68"/>
      <c r="M32" s="36"/>
      <c r="N32" s="36"/>
      <c r="O32" s="36"/>
      <c r="P32" s="36"/>
      <c r="Q32" s="36"/>
      <c r="R32" s="36"/>
      <c r="S32" s="36"/>
      <c r="T32" s="36"/>
    </row>
    <row r="33" spans="1:22" s="73" customFormat="1" ht="13.5">
      <c r="A33" s="69" t="s">
        <v>94</v>
      </c>
      <c r="B33" s="70" t="s">
        <v>95</v>
      </c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s="261" customFormat="1" ht="14.25">
      <c r="A34" s="182" t="s">
        <v>96</v>
      </c>
      <c r="B34" s="182"/>
      <c r="C34" s="183" t="s">
        <v>448</v>
      </c>
      <c r="D34" s="184" t="s">
        <v>346</v>
      </c>
      <c r="E34" s="185">
        <v>1.1</v>
      </c>
      <c r="F34" s="186"/>
      <c r="G34" s="186"/>
      <c r="H34" s="186"/>
      <c r="I34" s="186"/>
      <c r="J34" s="186"/>
      <c r="K34" s="185"/>
      <c r="L34" s="187"/>
      <c r="M34" s="188"/>
      <c r="N34" s="188"/>
      <c r="O34" s="188"/>
      <c r="P34" s="188"/>
      <c r="Q34" s="188"/>
      <c r="R34" s="188"/>
      <c r="S34" s="188"/>
      <c r="T34" s="188"/>
      <c r="U34" s="188"/>
      <c r="V34" s="188"/>
    </row>
    <row r="35" spans="1:22" s="261" customFormat="1" ht="14.25">
      <c r="A35" s="182" t="s">
        <v>97</v>
      </c>
      <c r="B35" s="250" t="s">
        <v>517</v>
      </c>
      <c r="C35" s="183" t="s">
        <v>704</v>
      </c>
      <c r="D35" s="184" t="s">
        <v>23</v>
      </c>
      <c r="E35" s="310">
        <v>2.38</v>
      </c>
      <c r="F35" s="186"/>
      <c r="G35" s="186"/>
      <c r="H35" s="186"/>
      <c r="I35" s="186"/>
      <c r="J35" s="186"/>
      <c r="K35" s="185"/>
      <c r="L35" s="187"/>
      <c r="M35" s="188"/>
      <c r="N35" s="188"/>
      <c r="O35" s="188"/>
      <c r="P35" s="188"/>
      <c r="Q35" s="188"/>
      <c r="R35" s="188"/>
      <c r="S35" s="188"/>
      <c r="T35" s="188"/>
      <c r="U35" s="188"/>
      <c r="V35" s="188"/>
    </row>
    <row r="36" spans="1:22" s="261" customFormat="1" ht="23.25">
      <c r="A36" s="182" t="s">
        <v>98</v>
      </c>
      <c r="B36" s="182"/>
      <c r="C36" s="190" t="s">
        <v>449</v>
      </c>
      <c r="D36" s="184" t="s">
        <v>23</v>
      </c>
      <c r="E36" s="185">
        <v>106.3</v>
      </c>
      <c r="F36" s="186"/>
      <c r="G36" s="186"/>
      <c r="H36" s="186"/>
      <c r="I36" s="186"/>
      <c r="J36" s="191"/>
      <c r="K36" s="192"/>
      <c r="L36" s="187"/>
      <c r="M36" s="188"/>
      <c r="N36" s="188"/>
      <c r="O36" s="188"/>
      <c r="P36" s="188"/>
      <c r="Q36" s="188"/>
      <c r="R36" s="188"/>
      <c r="S36" s="188"/>
      <c r="T36" s="188"/>
      <c r="U36" s="188"/>
      <c r="V36" s="188"/>
    </row>
    <row r="37" spans="1:22" s="261" customFormat="1" ht="23.25">
      <c r="A37" s="182" t="s">
        <v>99</v>
      </c>
      <c r="B37" s="182"/>
      <c r="C37" s="190" t="s">
        <v>450</v>
      </c>
      <c r="D37" s="184" t="s">
        <v>23</v>
      </c>
      <c r="E37" s="185">
        <v>260.2</v>
      </c>
      <c r="F37" s="186"/>
      <c r="G37" s="186"/>
      <c r="H37" s="186"/>
      <c r="I37" s="186"/>
      <c r="J37" s="191"/>
      <c r="K37" s="192"/>
      <c r="L37" s="187"/>
      <c r="M37" s="188"/>
      <c r="N37" s="188"/>
      <c r="O37" s="188"/>
      <c r="P37" s="188"/>
      <c r="Q37" s="188"/>
      <c r="R37" s="188"/>
      <c r="S37" s="188"/>
      <c r="T37" s="188"/>
      <c r="U37" s="188"/>
      <c r="V37" s="188"/>
    </row>
    <row r="38" spans="1:22" s="261" customFormat="1" ht="14.25">
      <c r="A38" s="182" t="s">
        <v>100</v>
      </c>
      <c r="B38" s="86" t="s">
        <v>437</v>
      </c>
      <c r="C38" s="183" t="s">
        <v>451</v>
      </c>
      <c r="D38" s="184" t="s">
        <v>346</v>
      </c>
      <c r="E38" s="185">
        <v>15.2</v>
      </c>
      <c r="F38" s="186"/>
      <c r="G38" s="186"/>
      <c r="H38" s="186"/>
      <c r="I38" s="186"/>
      <c r="J38" s="191"/>
      <c r="K38" s="192"/>
      <c r="L38" s="187"/>
      <c r="M38" s="188"/>
      <c r="N38" s="188"/>
      <c r="O38" s="188"/>
      <c r="P38" s="188"/>
      <c r="Q38" s="188"/>
      <c r="R38" s="188"/>
      <c r="S38" s="188"/>
      <c r="T38" s="188"/>
      <c r="U38" s="188"/>
      <c r="V38" s="188"/>
    </row>
    <row r="39" spans="1:22" s="261" customFormat="1" ht="14.25">
      <c r="A39" s="182" t="s">
        <v>101</v>
      </c>
      <c r="B39" s="182" t="s">
        <v>452</v>
      </c>
      <c r="C39" s="183" t="s">
        <v>453</v>
      </c>
      <c r="D39" s="184" t="s">
        <v>346</v>
      </c>
      <c r="E39" s="185">
        <v>15.2</v>
      </c>
      <c r="F39" s="186"/>
      <c r="G39" s="186"/>
      <c r="H39" s="186"/>
      <c r="I39" s="186"/>
      <c r="J39" s="191"/>
      <c r="K39" s="192"/>
      <c r="L39" s="187"/>
      <c r="M39" s="188"/>
      <c r="N39" s="188"/>
      <c r="O39" s="188"/>
      <c r="P39" s="188"/>
      <c r="Q39" s="188"/>
      <c r="R39" s="188"/>
      <c r="S39" s="188"/>
      <c r="T39" s="188"/>
      <c r="U39" s="188"/>
      <c r="V39" s="188"/>
    </row>
    <row r="40" spans="1:22" s="261" customFormat="1" ht="14.25">
      <c r="A40" s="182" t="s">
        <v>102</v>
      </c>
      <c r="B40" s="86" t="s">
        <v>437</v>
      </c>
      <c r="C40" s="183" t="s">
        <v>454</v>
      </c>
      <c r="D40" s="184" t="s">
        <v>346</v>
      </c>
      <c r="E40" s="185">
        <v>5.3</v>
      </c>
      <c r="F40" s="186"/>
      <c r="G40" s="186"/>
      <c r="H40" s="186"/>
      <c r="I40" s="186"/>
      <c r="J40" s="191"/>
      <c r="K40" s="192"/>
      <c r="L40" s="187"/>
      <c r="M40" s="188"/>
      <c r="N40" s="188"/>
      <c r="O40" s="188"/>
      <c r="P40" s="188"/>
      <c r="Q40" s="188"/>
      <c r="R40" s="188"/>
      <c r="S40" s="188"/>
      <c r="T40" s="188"/>
      <c r="U40" s="188"/>
      <c r="V40" s="188"/>
    </row>
    <row r="41" spans="1:22" s="261" customFormat="1" ht="14.25">
      <c r="A41" s="182" t="s">
        <v>103</v>
      </c>
      <c r="B41" s="182" t="s">
        <v>452</v>
      </c>
      <c r="C41" s="183" t="s">
        <v>455</v>
      </c>
      <c r="D41" s="184" t="s">
        <v>346</v>
      </c>
      <c r="E41" s="185">
        <v>5.3</v>
      </c>
      <c r="F41" s="186"/>
      <c r="G41" s="186"/>
      <c r="H41" s="186"/>
      <c r="I41" s="186"/>
      <c r="J41" s="191"/>
      <c r="K41" s="192"/>
      <c r="L41" s="187"/>
      <c r="M41" s="188"/>
      <c r="N41" s="188"/>
      <c r="O41" s="188"/>
      <c r="P41" s="188"/>
      <c r="Q41" s="188"/>
      <c r="R41" s="188"/>
      <c r="S41" s="188"/>
      <c r="T41" s="188"/>
      <c r="U41" s="188"/>
      <c r="V41" s="188"/>
    </row>
    <row r="42" spans="1:22" s="261" customFormat="1" ht="23.25">
      <c r="A42" s="182" t="s">
        <v>104</v>
      </c>
      <c r="B42" s="311" t="s">
        <v>445</v>
      </c>
      <c r="C42" s="183" t="s">
        <v>456</v>
      </c>
      <c r="D42" s="184" t="s">
        <v>447</v>
      </c>
      <c r="E42" s="185">
        <v>485.9</v>
      </c>
      <c r="F42" s="186"/>
      <c r="G42" s="186"/>
      <c r="H42" s="186"/>
      <c r="I42" s="186"/>
      <c r="J42" s="191"/>
      <c r="K42" s="192"/>
      <c r="L42" s="187"/>
      <c r="M42" s="188"/>
      <c r="N42" s="188"/>
      <c r="O42" s="188"/>
      <c r="P42" s="188"/>
      <c r="Q42" s="188"/>
      <c r="R42" s="188"/>
      <c r="S42" s="188"/>
      <c r="T42" s="188"/>
      <c r="U42" s="188"/>
      <c r="V42" s="188"/>
    </row>
    <row r="43" spans="1:22" s="261" customFormat="1" ht="14.25">
      <c r="A43" s="182" t="s">
        <v>105</v>
      </c>
      <c r="B43" s="86" t="s">
        <v>457</v>
      </c>
      <c r="C43" s="183" t="s">
        <v>458</v>
      </c>
      <c r="D43" s="184" t="s">
        <v>447</v>
      </c>
      <c r="E43" s="185">
        <v>158.3</v>
      </c>
      <c r="F43" s="186"/>
      <c r="G43" s="186"/>
      <c r="H43" s="186"/>
      <c r="I43" s="186"/>
      <c r="J43" s="191"/>
      <c r="K43" s="192"/>
      <c r="L43" s="187"/>
      <c r="M43" s="188"/>
      <c r="N43" s="188"/>
      <c r="O43" s="188"/>
      <c r="P43" s="188"/>
      <c r="Q43" s="188"/>
      <c r="R43" s="188"/>
      <c r="S43" s="188"/>
      <c r="T43" s="188"/>
      <c r="U43" s="188"/>
      <c r="V43" s="188"/>
    </row>
    <row r="44" spans="1:22" s="261" customFormat="1" ht="23.25">
      <c r="A44" s="182" t="s">
        <v>460</v>
      </c>
      <c r="B44" s="311" t="s">
        <v>445</v>
      </c>
      <c r="C44" s="183" t="s">
        <v>459</v>
      </c>
      <c r="D44" s="184" t="s">
        <v>447</v>
      </c>
      <c r="E44" s="185">
        <v>696.1</v>
      </c>
      <c r="F44" s="186"/>
      <c r="G44" s="186"/>
      <c r="H44" s="186"/>
      <c r="I44" s="186"/>
      <c r="J44" s="191"/>
      <c r="K44" s="192"/>
      <c r="L44" s="187"/>
      <c r="M44" s="188"/>
      <c r="N44" s="188"/>
      <c r="O44" s="188"/>
      <c r="P44" s="188"/>
      <c r="Q44" s="188"/>
      <c r="R44" s="188"/>
      <c r="S44" s="188"/>
      <c r="T44" s="188"/>
      <c r="U44" s="188"/>
      <c r="V44" s="188"/>
    </row>
    <row r="45" spans="1:22" s="261" customFormat="1" ht="14.25">
      <c r="A45" s="182" t="s">
        <v>462</v>
      </c>
      <c r="B45" s="86" t="s">
        <v>457</v>
      </c>
      <c r="C45" s="183" t="s">
        <v>461</v>
      </c>
      <c r="D45" s="184" t="s">
        <v>447</v>
      </c>
      <c r="E45" s="185">
        <v>281.6</v>
      </c>
      <c r="F45" s="186"/>
      <c r="G45" s="186"/>
      <c r="H45" s="186"/>
      <c r="I45" s="186"/>
      <c r="J45" s="191"/>
      <c r="K45" s="192"/>
      <c r="L45" s="187"/>
      <c r="M45" s="188"/>
      <c r="N45" s="188"/>
      <c r="O45" s="188"/>
      <c r="P45" s="188"/>
      <c r="Q45" s="188"/>
      <c r="R45" s="188"/>
      <c r="S45" s="188"/>
      <c r="T45" s="188"/>
      <c r="U45" s="188"/>
      <c r="V45" s="188"/>
    </row>
    <row r="46" spans="1:22" s="261" customFormat="1" ht="23.25">
      <c r="A46" s="182" t="s">
        <v>705</v>
      </c>
      <c r="B46" s="182"/>
      <c r="C46" s="190" t="s">
        <v>463</v>
      </c>
      <c r="D46" s="184" t="s">
        <v>23</v>
      </c>
      <c r="E46" s="185">
        <v>164.59</v>
      </c>
      <c r="F46" s="186"/>
      <c r="G46" s="186"/>
      <c r="H46" s="186"/>
      <c r="I46" s="186"/>
      <c r="J46" s="191"/>
      <c r="K46" s="192"/>
      <c r="L46" s="187"/>
      <c r="M46" s="188"/>
      <c r="N46" s="188"/>
      <c r="O46" s="188"/>
      <c r="P46" s="188"/>
      <c r="Q46" s="188"/>
      <c r="R46" s="188"/>
      <c r="S46" s="188"/>
      <c r="T46" s="188"/>
      <c r="U46" s="188"/>
      <c r="V46" s="188"/>
    </row>
    <row r="47" spans="1:22" s="261" customFormat="1" ht="14.25">
      <c r="A47" s="182" t="s">
        <v>464</v>
      </c>
      <c r="B47" s="182"/>
      <c r="C47" s="183" t="s">
        <v>465</v>
      </c>
      <c r="D47" s="184" t="s">
        <v>391</v>
      </c>
      <c r="E47" s="185">
        <v>2085</v>
      </c>
      <c r="F47" s="186"/>
      <c r="G47" s="186"/>
      <c r="H47" s="186"/>
      <c r="I47" s="186"/>
      <c r="J47" s="191"/>
      <c r="K47" s="192"/>
      <c r="L47" s="187"/>
      <c r="M47" s="188"/>
      <c r="N47" s="188"/>
      <c r="O47" s="188"/>
      <c r="P47" s="188"/>
      <c r="Q47" s="188"/>
      <c r="R47" s="188"/>
      <c r="S47" s="188"/>
      <c r="T47" s="188"/>
      <c r="U47" s="188"/>
      <c r="V47" s="188"/>
    </row>
    <row r="48" spans="1:22" s="261" customFormat="1" ht="14.25">
      <c r="A48" s="182" t="s">
        <v>707</v>
      </c>
      <c r="B48" s="86" t="s">
        <v>437</v>
      </c>
      <c r="C48" s="183" t="s">
        <v>467</v>
      </c>
      <c r="D48" s="184" t="s">
        <v>346</v>
      </c>
      <c r="E48" s="185">
        <v>7.5</v>
      </c>
      <c r="F48" s="186"/>
      <c r="G48" s="186"/>
      <c r="H48" s="186"/>
      <c r="I48" s="186"/>
      <c r="J48" s="191"/>
      <c r="K48" s="192"/>
      <c r="L48" s="187"/>
      <c r="M48" s="188"/>
      <c r="N48" s="188"/>
      <c r="O48" s="188"/>
      <c r="P48" s="188"/>
      <c r="Q48" s="188"/>
      <c r="R48" s="188"/>
      <c r="S48" s="188"/>
      <c r="T48" s="188"/>
      <c r="U48" s="188"/>
      <c r="V48" s="188"/>
    </row>
    <row r="49" spans="1:22" s="261" customFormat="1" ht="14.25">
      <c r="A49" s="182" t="s">
        <v>466</v>
      </c>
      <c r="B49" s="182" t="s">
        <v>452</v>
      </c>
      <c r="C49" s="183" t="s">
        <v>469</v>
      </c>
      <c r="D49" s="184" t="s">
        <v>346</v>
      </c>
      <c r="E49" s="185">
        <v>7.5</v>
      </c>
      <c r="F49" s="186"/>
      <c r="G49" s="186"/>
      <c r="H49" s="186"/>
      <c r="I49" s="186"/>
      <c r="J49" s="191"/>
      <c r="K49" s="192"/>
      <c r="L49" s="187"/>
      <c r="M49" s="188"/>
      <c r="N49" s="188"/>
      <c r="O49" s="188"/>
      <c r="P49" s="188"/>
      <c r="Q49" s="188"/>
      <c r="R49" s="188"/>
      <c r="S49" s="188"/>
      <c r="T49" s="188"/>
      <c r="U49" s="188"/>
      <c r="V49" s="188"/>
    </row>
    <row r="50" spans="1:22" s="73" customFormat="1" ht="13.5">
      <c r="A50" s="79" t="s">
        <v>106</v>
      </c>
      <c r="B50" s="79"/>
      <c r="C50" s="79"/>
      <c r="D50" s="79"/>
      <c r="E50" s="79"/>
      <c r="F50" s="79"/>
      <c r="G50" s="79"/>
      <c r="H50" s="79"/>
      <c r="I50" s="79"/>
      <c r="J50" s="53"/>
      <c r="K50" s="53"/>
      <c r="L50" s="80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s="78" customFormat="1" ht="13.5">
      <c r="A51" s="74" t="s">
        <v>107</v>
      </c>
      <c r="B51" s="81" t="s">
        <v>108</v>
      </c>
      <c r="C51" s="81"/>
      <c r="D51" s="81"/>
      <c r="E51" s="81"/>
      <c r="F51" s="81"/>
      <c r="G51" s="81"/>
      <c r="H51" s="81"/>
      <c r="I51" s="81"/>
      <c r="J51" s="81"/>
      <c r="K51" s="81"/>
      <c r="L51" s="71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0" s="42" customFormat="1" ht="23.25">
      <c r="A52" s="37" t="s">
        <v>109</v>
      </c>
      <c r="B52" s="38" t="s">
        <v>470</v>
      </c>
      <c r="C52" s="44" t="s">
        <v>471</v>
      </c>
      <c r="D52" s="40" t="s">
        <v>23</v>
      </c>
      <c r="E52" s="41">
        <f>(2.85*(15.5+1.4+3.7+1.6+14.05+4.85+2.2+5+5+2.5+5+1.65+3.4+3.4+3.4+3.4))+(1.8*52.6)+8.53-((2.5*0.15*2.7)+(0.9*0.6*0.15)+(0.8*2.1*0.15)+(0.65*2.1*0.15))</f>
        <v>318.4022500000001</v>
      </c>
      <c r="F52" s="41"/>
      <c r="G52" s="41"/>
      <c r="H52" s="41"/>
      <c r="I52" s="41"/>
      <c r="J52" s="41"/>
      <c r="K52" s="41"/>
      <c r="L52" s="36"/>
      <c r="M52" s="36"/>
      <c r="N52" s="36"/>
      <c r="O52" s="36"/>
      <c r="P52" s="36"/>
      <c r="Q52" s="36"/>
      <c r="R52" s="36"/>
      <c r="S52" s="36"/>
      <c r="T52" s="36"/>
    </row>
    <row r="53" spans="1:20" s="42" customFormat="1" ht="23.25">
      <c r="A53" s="37" t="s">
        <v>110</v>
      </c>
      <c r="B53" s="38" t="s">
        <v>472</v>
      </c>
      <c r="C53" s="44" t="s">
        <v>473</v>
      </c>
      <c r="D53" s="40" t="s">
        <v>23</v>
      </c>
      <c r="E53" s="41">
        <f>(2.85*52.6)+4.56-((1.6*0.2*2.7)+(1.2*0.9*0.2*3))</f>
        <v>152.958</v>
      </c>
      <c r="F53" s="41"/>
      <c r="G53" s="41"/>
      <c r="H53" s="41"/>
      <c r="I53" s="41"/>
      <c r="J53" s="41"/>
      <c r="K53" s="41"/>
      <c r="L53" s="36"/>
      <c r="M53" s="36"/>
      <c r="N53" s="36"/>
      <c r="O53" s="36"/>
      <c r="P53" s="36"/>
      <c r="Q53" s="36"/>
      <c r="R53" s="36"/>
      <c r="S53" s="36"/>
      <c r="T53" s="36"/>
    </row>
    <row r="54" spans="1:20" s="42" customFormat="1" ht="24" customHeight="1">
      <c r="A54" s="37" t="s">
        <v>111</v>
      </c>
      <c r="B54" s="38" t="s">
        <v>475</v>
      </c>
      <c r="C54" s="293" t="s">
        <v>476</v>
      </c>
      <c r="D54" s="40" t="s">
        <v>346</v>
      </c>
      <c r="E54" s="41">
        <f>(0.2*0.1)*((2*((1.1*5)+(3.1*1)+(3.4*2)+(2*5)))+(1.4*6)+2.4+(1.3*2)+(1.6*2)+(2*4))+0.39</f>
        <v>1.8980000000000001</v>
      </c>
      <c r="F54" s="41"/>
      <c r="G54" s="41"/>
      <c r="H54" s="41"/>
      <c r="I54" s="41"/>
      <c r="J54" s="41"/>
      <c r="K54" s="41"/>
      <c r="L54" s="36"/>
      <c r="M54" s="36"/>
      <c r="N54" s="36"/>
      <c r="O54" s="36"/>
      <c r="P54" s="36"/>
      <c r="Q54" s="36"/>
      <c r="R54" s="36"/>
      <c r="S54" s="36"/>
      <c r="T54" s="36"/>
    </row>
    <row r="55" spans="1:20" s="42" customFormat="1" ht="23.25">
      <c r="A55" s="37" t="s">
        <v>112</v>
      </c>
      <c r="B55" s="38" t="s">
        <v>478</v>
      </c>
      <c r="C55" s="44" t="s">
        <v>479</v>
      </c>
      <c r="D55" s="40" t="s">
        <v>23</v>
      </c>
      <c r="E55" s="41">
        <f>2*(2*(0.2+1.8+1.8))</f>
        <v>15.2</v>
      </c>
      <c r="F55" s="41"/>
      <c r="G55" s="41"/>
      <c r="H55" s="41"/>
      <c r="I55" s="41"/>
      <c r="J55" s="41"/>
      <c r="K55" s="77"/>
      <c r="L55" s="68"/>
      <c r="M55" s="36"/>
      <c r="N55" s="36"/>
      <c r="O55" s="36"/>
      <c r="P55" s="36"/>
      <c r="Q55" s="36"/>
      <c r="R55" s="36"/>
      <c r="S55" s="36"/>
      <c r="T55" s="36"/>
    </row>
    <row r="56" spans="1:22" s="73" customFormat="1" ht="13.5">
      <c r="A56" s="79" t="s">
        <v>119</v>
      </c>
      <c r="B56" s="79"/>
      <c r="C56" s="79"/>
      <c r="D56" s="79"/>
      <c r="E56" s="79"/>
      <c r="F56" s="79"/>
      <c r="G56" s="79"/>
      <c r="H56" s="79"/>
      <c r="I56" s="79"/>
      <c r="J56" s="53"/>
      <c r="K56" s="53"/>
      <c r="L56" s="80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0" s="42" customFormat="1" ht="15.75" customHeight="1">
      <c r="A57" s="34" t="s">
        <v>120</v>
      </c>
      <c r="B57" s="35" t="s">
        <v>121</v>
      </c>
      <c r="C57" s="35"/>
      <c r="D57" s="35"/>
      <c r="E57" s="35"/>
      <c r="F57" s="35"/>
      <c r="G57" s="35"/>
      <c r="H57" s="35"/>
      <c r="I57" s="35"/>
      <c r="J57" s="35"/>
      <c r="K57" s="35"/>
      <c r="L57" s="68"/>
      <c r="M57" s="36"/>
      <c r="N57" s="36"/>
      <c r="O57" s="36"/>
      <c r="P57" s="36"/>
      <c r="Q57" s="36"/>
      <c r="R57" s="36"/>
      <c r="S57" s="36"/>
      <c r="T57" s="36"/>
    </row>
    <row r="58" spans="1:20" s="42" customFormat="1" ht="15.75" customHeight="1">
      <c r="A58" s="82" t="s">
        <v>122</v>
      </c>
      <c r="B58" s="198" t="s">
        <v>480</v>
      </c>
      <c r="C58" s="39" t="s">
        <v>481</v>
      </c>
      <c r="D58" s="40" t="s">
        <v>391</v>
      </c>
      <c r="E58" s="83">
        <v>4</v>
      </c>
      <c r="F58" s="83"/>
      <c r="G58" s="83"/>
      <c r="H58" s="83"/>
      <c r="I58" s="83"/>
      <c r="J58" s="83"/>
      <c r="K58" s="41"/>
      <c r="L58" s="36"/>
      <c r="M58" s="36"/>
      <c r="N58" s="36"/>
      <c r="O58" s="36"/>
      <c r="P58" s="36"/>
      <c r="Q58" s="36"/>
      <c r="R58" s="36"/>
      <c r="S58" s="36"/>
      <c r="T58" s="36"/>
    </row>
    <row r="59" spans="1:20" s="42" customFormat="1" ht="15.75" customHeight="1">
      <c r="A59" s="82" t="s">
        <v>123</v>
      </c>
      <c r="B59" s="198" t="s">
        <v>482</v>
      </c>
      <c r="C59" s="39" t="s">
        <v>483</v>
      </c>
      <c r="D59" s="40" t="s">
        <v>23</v>
      </c>
      <c r="E59" s="83">
        <f>1.2*2.1</f>
        <v>2.52</v>
      </c>
      <c r="F59" s="83"/>
      <c r="G59" s="83"/>
      <c r="H59" s="83"/>
      <c r="I59" s="83"/>
      <c r="J59" s="83"/>
      <c r="K59" s="41"/>
      <c r="L59" s="36"/>
      <c r="M59" s="36"/>
      <c r="N59" s="36"/>
      <c r="O59" s="36"/>
      <c r="P59" s="36"/>
      <c r="Q59" s="36"/>
      <c r="R59" s="36"/>
      <c r="S59" s="36"/>
      <c r="T59" s="36"/>
    </row>
    <row r="60" spans="1:20" s="42" customFormat="1" ht="15.75" customHeight="1">
      <c r="A60" s="82" t="s">
        <v>124</v>
      </c>
      <c r="B60" s="75" t="s">
        <v>484</v>
      </c>
      <c r="C60" s="39" t="s">
        <v>485</v>
      </c>
      <c r="D60" s="40" t="s">
        <v>23</v>
      </c>
      <c r="E60" s="83">
        <f>(2*((1.4+4.28)*1))+(2*((1.4+4.28)*0.5))</f>
        <v>17.04</v>
      </c>
      <c r="F60" s="83"/>
      <c r="G60" s="83"/>
      <c r="H60" s="83"/>
      <c r="I60" s="83"/>
      <c r="J60" s="83"/>
      <c r="K60" s="41"/>
      <c r="L60" s="36"/>
      <c r="M60" s="36"/>
      <c r="N60" s="36"/>
      <c r="O60" s="36"/>
      <c r="P60" s="36"/>
      <c r="Q60" s="36"/>
      <c r="R60" s="36"/>
      <c r="S60" s="36"/>
      <c r="T60" s="36"/>
    </row>
    <row r="61" spans="1:20" s="42" customFormat="1" ht="15.75" customHeight="1">
      <c r="A61" s="82" t="s">
        <v>125</v>
      </c>
      <c r="B61" s="75" t="s">
        <v>720</v>
      </c>
      <c r="C61" s="39" t="s">
        <v>721</v>
      </c>
      <c r="D61" s="40" t="s">
        <v>391</v>
      </c>
      <c r="E61" s="83">
        <v>1</v>
      </c>
      <c r="F61" s="83"/>
      <c r="G61" s="83"/>
      <c r="H61" s="83"/>
      <c r="I61" s="83"/>
      <c r="J61" s="83"/>
      <c r="K61" s="41"/>
      <c r="L61" s="36"/>
      <c r="M61" s="36"/>
      <c r="N61" s="36"/>
      <c r="O61" s="36"/>
      <c r="P61" s="36"/>
      <c r="Q61" s="36"/>
      <c r="R61" s="36"/>
      <c r="S61" s="36"/>
      <c r="T61" s="36"/>
    </row>
    <row r="62" spans="1:20" s="42" customFormat="1" ht="15.75" customHeight="1">
      <c r="A62" s="82" t="s">
        <v>126</v>
      </c>
      <c r="B62" s="75"/>
      <c r="C62" s="44" t="s">
        <v>488</v>
      </c>
      <c r="D62" s="40" t="s">
        <v>391</v>
      </c>
      <c r="E62" s="83">
        <v>2</v>
      </c>
      <c r="F62" s="83"/>
      <c r="G62" s="83"/>
      <c r="H62" s="83"/>
      <c r="I62" s="83"/>
      <c r="J62" s="83"/>
      <c r="K62" s="41"/>
      <c r="L62" s="36"/>
      <c r="M62" s="36"/>
      <c r="N62" s="36"/>
      <c r="O62" s="36"/>
      <c r="P62" s="36"/>
      <c r="Q62" s="36"/>
      <c r="R62" s="36"/>
      <c r="S62" s="36"/>
      <c r="T62" s="36"/>
    </row>
    <row r="63" spans="1:20" s="42" customFormat="1" ht="15.75" customHeight="1">
      <c r="A63" s="82" t="s">
        <v>127</v>
      </c>
      <c r="B63" s="75"/>
      <c r="C63" s="44" t="s">
        <v>489</v>
      </c>
      <c r="D63" s="40" t="s">
        <v>391</v>
      </c>
      <c r="E63" s="83">
        <v>1</v>
      </c>
      <c r="F63" s="83"/>
      <c r="G63" s="83"/>
      <c r="H63" s="83"/>
      <c r="I63" s="83"/>
      <c r="J63" s="83"/>
      <c r="K63" s="41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42" customFormat="1" ht="23.25">
      <c r="A64" s="82" t="s">
        <v>128</v>
      </c>
      <c r="B64" s="38" t="s">
        <v>490</v>
      </c>
      <c r="C64" s="44" t="s">
        <v>491</v>
      </c>
      <c r="D64" s="40" t="s">
        <v>391</v>
      </c>
      <c r="E64" s="83">
        <v>6</v>
      </c>
      <c r="F64" s="83"/>
      <c r="G64" s="83"/>
      <c r="H64" s="83"/>
      <c r="I64" s="83"/>
      <c r="J64" s="83"/>
      <c r="K64" s="41"/>
      <c r="L64" s="36"/>
      <c r="M64" s="36"/>
      <c r="N64" s="36"/>
      <c r="O64" s="36"/>
      <c r="P64" s="36"/>
      <c r="Q64" s="36"/>
      <c r="R64" s="36"/>
      <c r="S64" s="36"/>
      <c r="T64" s="36"/>
    </row>
    <row r="65" spans="1:20" s="42" customFormat="1" ht="23.25">
      <c r="A65" s="82" t="s">
        <v>129</v>
      </c>
      <c r="B65" s="38" t="s">
        <v>492</v>
      </c>
      <c r="C65" s="44" t="s">
        <v>494</v>
      </c>
      <c r="D65" s="40" t="s">
        <v>391</v>
      </c>
      <c r="E65" s="83">
        <v>4</v>
      </c>
      <c r="F65" s="83"/>
      <c r="G65" s="83"/>
      <c r="H65" s="83"/>
      <c r="I65" s="83"/>
      <c r="J65" s="83"/>
      <c r="K65" s="41"/>
      <c r="L65" s="36"/>
      <c r="M65" s="36"/>
      <c r="N65" s="36"/>
      <c r="O65" s="36"/>
      <c r="P65" s="36"/>
      <c r="Q65" s="36"/>
      <c r="R65" s="36"/>
      <c r="S65" s="36"/>
      <c r="T65" s="36"/>
    </row>
    <row r="66" spans="1:20" s="42" customFormat="1" ht="13.5">
      <c r="A66" s="82" t="s">
        <v>130</v>
      </c>
      <c r="B66" s="38" t="s">
        <v>495</v>
      </c>
      <c r="C66" s="44" t="s">
        <v>496</v>
      </c>
      <c r="D66" s="40" t="s">
        <v>391</v>
      </c>
      <c r="E66" s="83">
        <v>1</v>
      </c>
      <c r="F66" s="83"/>
      <c r="G66" s="83"/>
      <c r="H66" s="83"/>
      <c r="I66" s="83"/>
      <c r="J66" s="83"/>
      <c r="K66" s="41"/>
      <c r="L66" s="36"/>
      <c r="M66" s="36"/>
      <c r="N66" s="36"/>
      <c r="O66" s="36"/>
      <c r="P66" s="36"/>
      <c r="Q66" s="36"/>
      <c r="R66" s="36"/>
      <c r="S66" s="36"/>
      <c r="T66" s="36"/>
    </row>
    <row r="67" spans="1:20" s="42" customFormat="1" ht="23.25">
      <c r="A67" s="82" t="s">
        <v>131</v>
      </c>
      <c r="B67" s="38" t="s">
        <v>725</v>
      </c>
      <c r="C67" s="44" t="s">
        <v>726</v>
      </c>
      <c r="D67" s="40" t="s">
        <v>391</v>
      </c>
      <c r="E67" s="83">
        <v>2</v>
      </c>
      <c r="F67" s="83"/>
      <c r="G67" s="83"/>
      <c r="H67" s="83"/>
      <c r="I67" s="83"/>
      <c r="J67" s="83"/>
      <c r="K67" s="41"/>
      <c r="L67" s="36"/>
      <c r="M67" s="36"/>
      <c r="N67" s="36"/>
      <c r="O67" s="36"/>
      <c r="P67" s="36"/>
      <c r="Q67" s="36"/>
      <c r="R67" s="36"/>
      <c r="S67" s="36"/>
      <c r="T67" s="36"/>
    </row>
    <row r="68" spans="1:20" s="42" customFormat="1" ht="23.25">
      <c r="A68" s="82" t="s">
        <v>497</v>
      </c>
      <c r="B68" s="38" t="s">
        <v>498</v>
      </c>
      <c r="C68" s="44" t="s">
        <v>499</v>
      </c>
      <c r="D68" s="40" t="s">
        <v>391</v>
      </c>
      <c r="E68" s="83">
        <v>2</v>
      </c>
      <c r="F68" s="83"/>
      <c r="G68" s="83"/>
      <c r="H68" s="83"/>
      <c r="I68" s="83"/>
      <c r="J68" s="83"/>
      <c r="K68" s="41"/>
      <c r="L68" s="36"/>
      <c r="M68" s="36"/>
      <c r="N68" s="36"/>
      <c r="O68" s="36"/>
      <c r="P68" s="36"/>
      <c r="Q68" s="36"/>
      <c r="R68" s="36"/>
      <c r="S68" s="36"/>
      <c r="T68" s="36"/>
    </row>
    <row r="69" spans="1:20" s="42" customFormat="1" ht="23.25">
      <c r="A69" s="82" t="s">
        <v>500</v>
      </c>
      <c r="B69" s="38" t="s">
        <v>486</v>
      </c>
      <c r="C69" s="44" t="s">
        <v>823</v>
      </c>
      <c r="D69" s="40" t="s">
        <v>391</v>
      </c>
      <c r="E69" s="83">
        <v>1</v>
      </c>
      <c r="F69" s="83"/>
      <c r="G69" s="83"/>
      <c r="H69" s="83"/>
      <c r="I69" s="83"/>
      <c r="J69" s="83"/>
      <c r="K69" s="41"/>
      <c r="L69" s="36"/>
      <c r="M69" s="36"/>
      <c r="N69" s="36"/>
      <c r="O69" s="36"/>
      <c r="P69" s="36"/>
      <c r="Q69" s="36"/>
      <c r="R69" s="36"/>
      <c r="S69" s="36"/>
      <c r="T69" s="36"/>
    </row>
    <row r="70" spans="1:20" s="42" customFormat="1" ht="23.25">
      <c r="A70" s="82" t="s">
        <v>503</v>
      </c>
      <c r="B70" s="38" t="s">
        <v>498</v>
      </c>
      <c r="C70" s="44" t="s">
        <v>845</v>
      </c>
      <c r="D70" s="40" t="s">
        <v>391</v>
      </c>
      <c r="E70" s="83">
        <v>4</v>
      </c>
      <c r="F70" s="83"/>
      <c r="G70" s="83"/>
      <c r="H70" s="83"/>
      <c r="I70" s="83"/>
      <c r="J70" s="83"/>
      <c r="K70" s="41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42" customFormat="1" ht="23.25">
      <c r="A71" s="82" t="s">
        <v>505</v>
      </c>
      <c r="B71" s="38" t="s">
        <v>492</v>
      </c>
      <c r="C71" s="44" t="s">
        <v>846</v>
      </c>
      <c r="D71" s="40" t="s">
        <v>391</v>
      </c>
      <c r="E71" s="83">
        <v>3</v>
      </c>
      <c r="F71" s="83"/>
      <c r="G71" s="83"/>
      <c r="H71" s="83"/>
      <c r="I71" s="83"/>
      <c r="J71" s="83"/>
      <c r="K71" s="41"/>
      <c r="L71" s="36"/>
      <c r="M71" s="36"/>
      <c r="N71" s="36"/>
      <c r="O71" s="36"/>
      <c r="P71" s="36"/>
      <c r="Q71" s="36"/>
      <c r="R71" s="36"/>
      <c r="S71" s="36"/>
      <c r="T71" s="36"/>
    </row>
    <row r="72" spans="1:20" s="42" customFormat="1" ht="23.25">
      <c r="A72" s="82" t="s">
        <v>508</v>
      </c>
      <c r="B72" s="38" t="s">
        <v>847</v>
      </c>
      <c r="C72" s="47" t="s">
        <v>848</v>
      </c>
      <c r="D72" s="40" t="s">
        <v>391</v>
      </c>
      <c r="E72" s="41">
        <v>2</v>
      </c>
      <c r="F72" s="83"/>
      <c r="G72" s="83"/>
      <c r="H72" s="83"/>
      <c r="I72" s="83"/>
      <c r="J72" s="83"/>
      <c r="K72" s="41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42" customFormat="1" ht="13.5">
      <c r="A73" s="82" t="s">
        <v>511</v>
      </c>
      <c r="B73" s="120" t="s">
        <v>506</v>
      </c>
      <c r="C73" s="44" t="s">
        <v>732</v>
      </c>
      <c r="D73" s="40" t="s">
        <v>391</v>
      </c>
      <c r="E73" s="41">
        <v>5</v>
      </c>
      <c r="F73" s="83"/>
      <c r="G73" s="83"/>
      <c r="H73" s="83"/>
      <c r="I73" s="83"/>
      <c r="J73" s="83"/>
      <c r="K73" s="41"/>
      <c r="L73" s="36"/>
      <c r="M73" s="36"/>
      <c r="N73" s="36"/>
      <c r="O73" s="36"/>
      <c r="P73" s="36"/>
      <c r="Q73" s="36"/>
      <c r="R73" s="36"/>
      <c r="S73" s="36"/>
      <c r="T73" s="36"/>
    </row>
    <row r="74" spans="1:20" s="42" customFormat="1" ht="13.5">
      <c r="A74" s="82" t="s">
        <v>514</v>
      </c>
      <c r="B74" s="38" t="s">
        <v>512</v>
      </c>
      <c r="C74" s="44" t="s">
        <v>849</v>
      </c>
      <c r="D74" s="40" t="s">
        <v>391</v>
      </c>
      <c r="E74" s="41">
        <v>1</v>
      </c>
      <c r="F74" s="83"/>
      <c r="G74" s="83"/>
      <c r="H74" s="83"/>
      <c r="I74" s="83"/>
      <c r="J74" s="83"/>
      <c r="K74" s="41"/>
      <c r="L74" s="36"/>
      <c r="M74" s="36"/>
      <c r="N74" s="36"/>
      <c r="O74" s="36"/>
      <c r="P74" s="36"/>
      <c r="Q74" s="36"/>
      <c r="R74" s="36"/>
      <c r="S74" s="36"/>
      <c r="T74" s="36"/>
    </row>
    <row r="75" spans="1:20" s="42" customFormat="1" ht="13.5">
      <c r="A75" s="82" t="s">
        <v>730</v>
      </c>
      <c r="B75" s="38" t="s">
        <v>512</v>
      </c>
      <c r="C75" s="44" t="s">
        <v>850</v>
      </c>
      <c r="D75" s="40" t="s">
        <v>391</v>
      </c>
      <c r="E75" s="41">
        <v>2</v>
      </c>
      <c r="F75" s="83"/>
      <c r="G75" s="83"/>
      <c r="H75" s="83"/>
      <c r="I75" s="83"/>
      <c r="J75" s="83"/>
      <c r="K75" s="41"/>
      <c r="L75" s="36"/>
      <c r="M75" s="36"/>
      <c r="N75" s="36"/>
      <c r="O75" s="36"/>
      <c r="P75" s="36"/>
      <c r="Q75" s="36"/>
      <c r="R75" s="36"/>
      <c r="S75" s="36"/>
      <c r="T75" s="36"/>
    </row>
    <row r="76" spans="1:20" s="42" customFormat="1" ht="13.5">
      <c r="A76" s="82" t="s">
        <v>731</v>
      </c>
      <c r="B76" s="38" t="s">
        <v>512</v>
      </c>
      <c r="C76" s="312" t="s">
        <v>851</v>
      </c>
      <c r="D76" s="40" t="s">
        <v>391</v>
      </c>
      <c r="E76" s="41">
        <f>5-2</f>
        <v>3</v>
      </c>
      <c r="F76" s="83"/>
      <c r="G76" s="83"/>
      <c r="H76" s="83"/>
      <c r="I76" s="83"/>
      <c r="J76" s="83"/>
      <c r="K76" s="41"/>
      <c r="L76" s="36"/>
      <c r="M76" s="36"/>
      <c r="N76" s="36"/>
      <c r="O76" s="36"/>
      <c r="P76" s="36"/>
      <c r="Q76" s="36"/>
      <c r="R76" s="36"/>
      <c r="S76" s="36"/>
      <c r="T76" s="36"/>
    </row>
    <row r="77" spans="1:20" s="42" customFormat="1" ht="23.25">
      <c r="A77" s="82" t="s">
        <v>733</v>
      </c>
      <c r="B77" s="198" t="s">
        <v>852</v>
      </c>
      <c r="C77" s="47" t="s">
        <v>853</v>
      </c>
      <c r="D77" s="40" t="s">
        <v>391</v>
      </c>
      <c r="E77" s="41">
        <v>5</v>
      </c>
      <c r="F77" s="83"/>
      <c r="G77" s="83"/>
      <c r="H77" s="83"/>
      <c r="I77" s="83"/>
      <c r="J77" s="83"/>
      <c r="K77" s="41"/>
      <c r="L77" s="36"/>
      <c r="M77" s="36"/>
      <c r="N77" s="36"/>
      <c r="O77" s="36"/>
      <c r="P77" s="36"/>
      <c r="Q77" s="36"/>
      <c r="R77" s="36"/>
      <c r="S77" s="36"/>
      <c r="T77" s="36"/>
    </row>
    <row r="78" spans="1:20" s="42" customFormat="1" ht="13.5">
      <c r="A78" s="82" t="s">
        <v>735</v>
      </c>
      <c r="B78" s="198" t="s">
        <v>506</v>
      </c>
      <c r="C78" s="47" t="s">
        <v>854</v>
      </c>
      <c r="D78" s="40" t="s">
        <v>391</v>
      </c>
      <c r="E78" s="41">
        <v>1</v>
      </c>
      <c r="F78" s="83"/>
      <c r="G78" s="83"/>
      <c r="H78" s="83"/>
      <c r="I78" s="83"/>
      <c r="J78" s="83"/>
      <c r="K78" s="41"/>
      <c r="L78" s="36"/>
      <c r="M78" s="36"/>
      <c r="N78" s="36"/>
      <c r="O78" s="36"/>
      <c r="P78" s="36"/>
      <c r="Q78" s="36"/>
      <c r="R78" s="36"/>
      <c r="S78" s="36"/>
      <c r="T78" s="36"/>
    </row>
    <row r="79" spans="1:20" s="42" customFormat="1" ht="15.75" customHeight="1">
      <c r="A79" s="67" t="s">
        <v>132</v>
      </c>
      <c r="B79" s="67"/>
      <c r="C79" s="67"/>
      <c r="D79" s="67"/>
      <c r="E79" s="67"/>
      <c r="F79" s="67"/>
      <c r="G79" s="67"/>
      <c r="H79" s="67"/>
      <c r="I79" s="67"/>
      <c r="J79" s="267"/>
      <c r="K79" s="267"/>
      <c r="L79" s="68"/>
      <c r="M79" s="36"/>
      <c r="N79" s="36"/>
      <c r="O79" s="36"/>
      <c r="P79" s="36"/>
      <c r="Q79" s="36"/>
      <c r="R79" s="36"/>
      <c r="S79" s="36"/>
      <c r="T79" s="36"/>
    </row>
    <row r="80" spans="1:22" s="73" customFormat="1" ht="13.5">
      <c r="A80" s="69" t="s">
        <v>133</v>
      </c>
      <c r="B80" s="85" t="s">
        <v>134</v>
      </c>
      <c r="C80" s="85"/>
      <c r="D80" s="85"/>
      <c r="E80" s="85"/>
      <c r="F80" s="85"/>
      <c r="G80" s="85"/>
      <c r="H80" s="85"/>
      <c r="I80" s="85"/>
      <c r="J80" s="85"/>
      <c r="K80" s="85"/>
      <c r="L80" s="71"/>
      <c r="M80" s="72"/>
      <c r="N80" s="72"/>
      <c r="O80" s="72"/>
      <c r="P80" s="72"/>
      <c r="Q80" s="72"/>
      <c r="R80" s="72"/>
      <c r="S80" s="72"/>
      <c r="T80" s="72"/>
      <c r="U80" s="72"/>
      <c r="V80" s="72"/>
    </row>
    <row r="81" spans="1:22" s="78" customFormat="1" ht="23.25">
      <c r="A81" s="74" t="s">
        <v>135</v>
      </c>
      <c r="B81" s="120" t="s">
        <v>517</v>
      </c>
      <c r="C81" s="47" t="s">
        <v>741</v>
      </c>
      <c r="D81" s="75" t="s">
        <v>23</v>
      </c>
      <c r="E81" s="41">
        <v>187.2</v>
      </c>
      <c r="F81" s="41"/>
      <c r="G81" s="41"/>
      <c r="H81" s="41"/>
      <c r="I81" s="41"/>
      <c r="J81" s="77"/>
      <c r="K81" s="41"/>
      <c r="L81" s="71"/>
      <c r="M81" s="72"/>
      <c r="N81" s="72"/>
      <c r="O81" s="72"/>
      <c r="P81" s="72"/>
      <c r="Q81" s="72"/>
      <c r="R81" s="72"/>
      <c r="S81" s="72"/>
      <c r="T81" s="72"/>
      <c r="U81" s="72"/>
      <c r="V81" s="72"/>
    </row>
    <row r="82" spans="1:22" s="78" customFormat="1" ht="23.25">
      <c r="A82" s="74" t="s">
        <v>136</v>
      </c>
      <c r="B82" s="120" t="s">
        <v>519</v>
      </c>
      <c r="C82" s="47" t="s">
        <v>520</v>
      </c>
      <c r="D82" s="75" t="s">
        <v>23</v>
      </c>
      <c r="E82" s="41">
        <f>E81*1.005</f>
        <v>188.13599999999997</v>
      </c>
      <c r="F82" s="41"/>
      <c r="G82" s="41"/>
      <c r="H82" s="41"/>
      <c r="I82" s="41"/>
      <c r="J82" s="77"/>
      <c r="K82" s="41"/>
      <c r="L82" s="71"/>
      <c r="M82" s="72"/>
      <c r="N82" s="72"/>
      <c r="O82" s="72"/>
      <c r="P82" s="72"/>
      <c r="Q82" s="72"/>
      <c r="R82" s="72"/>
      <c r="S82" s="72"/>
      <c r="T82" s="72"/>
      <c r="U82" s="72"/>
      <c r="V82" s="72"/>
    </row>
    <row r="83" spans="1:22" s="78" customFormat="1" ht="13.5">
      <c r="A83" s="74" t="s">
        <v>137</v>
      </c>
      <c r="B83" s="120">
        <v>72104</v>
      </c>
      <c r="C83" s="47" t="s">
        <v>521</v>
      </c>
      <c r="D83" s="75" t="s">
        <v>189</v>
      </c>
      <c r="E83" s="39">
        <f>(10.4*2)*1.005</f>
        <v>20.904</v>
      </c>
      <c r="F83" s="41"/>
      <c r="G83" s="41"/>
      <c r="H83" s="41"/>
      <c r="I83" s="41"/>
      <c r="J83" s="77"/>
      <c r="K83" s="41"/>
      <c r="L83" s="71"/>
      <c r="M83" s="72"/>
      <c r="N83" s="72"/>
      <c r="O83" s="72"/>
      <c r="P83" s="72"/>
      <c r="Q83" s="72"/>
      <c r="R83" s="72"/>
      <c r="S83" s="72"/>
      <c r="T83" s="72"/>
      <c r="U83" s="72"/>
      <c r="V83" s="72"/>
    </row>
    <row r="84" spans="1:22" s="78" customFormat="1" ht="13.5">
      <c r="A84" s="74" t="s">
        <v>138</v>
      </c>
      <c r="B84" s="120">
        <v>72104</v>
      </c>
      <c r="C84" s="46" t="s">
        <v>523</v>
      </c>
      <c r="D84" s="75" t="s">
        <v>189</v>
      </c>
      <c r="E84" s="295">
        <v>15.6</v>
      </c>
      <c r="F84" s="41"/>
      <c r="G84" s="41"/>
      <c r="H84" s="41"/>
      <c r="I84" s="41"/>
      <c r="J84" s="77"/>
      <c r="K84" s="41"/>
      <c r="L84" s="71"/>
      <c r="M84" s="72"/>
      <c r="N84" s="72"/>
      <c r="O84" s="72"/>
      <c r="P84" s="72"/>
      <c r="Q84" s="72"/>
      <c r="R84" s="72"/>
      <c r="S84" s="72"/>
      <c r="T84" s="72"/>
      <c r="U84" s="72"/>
      <c r="V84" s="72"/>
    </row>
    <row r="85" spans="1:22" s="78" customFormat="1" ht="13.5">
      <c r="A85" s="74" t="s">
        <v>139</v>
      </c>
      <c r="B85" s="120">
        <v>72106</v>
      </c>
      <c r="C85" s="46" t="s">
        <v>522</v>
      </c>
      <c r="D85" s="75" t="s">
        <v>189</v>
      </c>
      <c r="E85" s="41">
        <f>(2*10.4)*1.005</f>
        <v>20.904</v>
      </c>
      <c r="F85" s="41"/>
      <c r="G85" s="41"/>
      <c r="H85" s="41"/>
      <c r="I85" s="41"/>
      <c r="J85" s="77"/>
      <c r="K85" s="41"/>
      <c r="L85" s="71"/>
      <c r="M85" s="72"/>
      <c r="N85" s="72"/>
      <c r="O85" s="72"/>
      <c r="P85" s="72"/>
      <c r="Q85" s="72"/>
      <c r="R85" s="72"/>
      <c r="S85" s="72"/>
      <c r="T85" s="72"/>
      <c r="U85" s="72"/>
      <c r="V85" s="72"/>
    </row>
    <row r="86" spans="1:22" s="73" customFormat="1" ht="14.25" customHeight="1">
      <c r="A86" s="79" t="s">
        <v>145</v>
      </c>
      <c r="B86" s="79"/>
      <c r="C86" s="79"/>
      <c r="D86" s="79"/>
      <c r="E86" s="79"/>
      <c r="F86" s="79"/>
      <c r="G86" s="79"/>
      <c r="H86" s="79"/>
      <c r="I86" s="79"/>
      <c r="J86" s="267"/>
      <c r="K86" s="267"/>
      <c r="L86" s="80"/>
      <c r="M86" s="72"/>
      <c r="N86" s="269"/>
      <c r="O86" s="286"/>
      <c r="P86" s="72"/>
      <c r="Q86" s="72"/>
      <c r="R86" s="72"/>
      <c r="S86" s="72"/>
      <c r="T86" s="72"/>
      <c r="U86" s="72"/>
      <c r="V86" s="72"/>
    </row>
    <row r="87" spans="1:20" s="42" customFormat="1" ht="13.5" customHeight="1">
      <c r="A87" s="37" t="s">
        <v>146</v>
      </c>
      <c r="B87" s="55" t="s">
        <v>147</v>
      </c>
      <c r="C87" s="55"/>
      <c r="D87" s="55"/>
      <c r="E87" s="55"/>
      <c r="F87" s="55"/>
      <c r="G87" s="55"/>
      <c r="H87" s="55"/>
      <c r="I87" s="55"/>
      <c r="J87" s="55"/>
      <c r="K87" s="55"/>
      <c r="L87" s="68"/>
      <c r="M87" s="36"/>
      <c r="N87" s="269"/>
      <c r="O87" s="237"/>
      <c r="P87" s="36"/>
      <c r="Q87" s="36"/>
      <c r="R87" s="36"/>
      <c r="S87" s="36"/>
      <c r="T87" s="36"/>
    </row>
    <row r="88" spans="1:20" s="91" customFormat="1" ht="14.25">
      <c r="A88" s="86" t="s">
        <v>148</v>
      </c>
      <c r="B88" s="202" t="s">
        <v>524</v>
      </c>
      <c r="C88" s="271" t="s">
        <v>525</v>
      </c>
      <c r="D88" s="272" t="s">
        <v>189</v>
      </c>
      <c r="E88" s="88">
        <f>591.6+15</f>
        <v>606.6</v>
      </c>
      <c r="F88" s="271"/>
      <c r="G88" s="83"/>
      <c r="H88" s="271"/>
      <c r="I88" s="83"/>
      <c r="J88" s="83"/>
      <c r="K88" s="83"/>
      <c r="L88" s="90"/>
      <c r="M88" s="90"/>
      <c r="N88" s="269"/>
      <c r="O88" s="237"/>
      <c r="P88" s="90"/>
      <c r="Q88" s="90"/>
      <c r="R88" s="90"/>
      <c r="S88" s="90"/>
      <c r="T88" s="90"/>
    </row>
    <row r="89" spans="1:20" s="91" customFormat="1" ht="14.25">
      <c r="A89" s="86" t="s">
        <v>149</v>
      </c>
      <c r="B89" s="202" t="s">
        <v>526</v>
      </c>
      <c r="C89" s="230" t="s">
        <v>527</v>
      </c>
      <c r="D89" s="273" t="s">
        <v>189</v>
      </c>
      <c r="E89" s="93">
        <v>216.9</v>
      </c>
      <c r="F89" s="230"/>
      <c r="G89" s="41"/>
      <c r="H89" s="230"/>
      <c r="I89" s="41"/>
      <c r="J89" s="41"/>
      <c r="K89" s="83"/>
      <c r="L89" s="90"/>
      <c r="M89" s="90"/>
      <c r="N89" s="274"/>
      <c r="O89" s="237"/>
      <c r="P89" s="90"/>
      <c r="Q89" s="90"/>
      <c r="R89" s="90"/>
      <c r="S89" s="90"/>
      <c r="T89" s="90"/>
    </row>
    <row r="90" spans="1:20" s="91" customFormat="1" ht="14.25">
      <c r="A90" s="86" t="s">
        <v>150</v>
      </c>
      <c r="B90" s="202" t="s">
        <v>743</v>
      </c>
      <c r="C90" s="230" t="s">
        <v>744</v>
      </c>
      <c r="D90" s="273" t="s">
        <v>189</v>
      </c>
      <c r="E90" s="93">
        <v>117.22</v>
      </c>
      <c r="F90" s="230"/>
      <c r="G90" s="41"/>
      <c r="H90" s="230"/>
      <c r="I90" s="41"/>
      <c r="J90" s="41"/>
      <c r="K90" s="83"/>
      <c r="L90" s="90"/>
      <c r="M90" s="90"/>
      <c r="N90" s="274"/>
      <c r="O90" s="275"/>
      <c r="P90" s="90"/>
      <c r="Q90" s="90"/>
      <c r="R90" s="90"/>
      <c r="S90" s="90"/>
      <c r="T90" s="90"/>
    </row>
    <row r="91" spans="1:20" s="91" customFormat="1" ht="14.25">
      <c r="A91" s="86" t="s">
        <v>151</v>
      </c>
      <c r="B91" s="202" t="s">
        <v>745</v>
      </c>
      <c r="C91" s="230" t="s">
        <v>746</v>
      </c>
      <c r="D91" s="273" t="s">
        <v>189</v>
      </c>
      <c r="E91" s="93">
        <v>94</v>
      </c>
      <c r="F91" s="230"/>
      <c r="G91" s="41"/>
      <c r="H91" s="230"/>
      <c r="I91" s="41"/>
      <c r="J91" s="41"/>
      <c r="K91" s="83"/>
      <c r="L91" s="90"/>
      <c r="M91" s="90"/>
      <c r="N91" s="274"/>
      <c r="O91" s="237"/>
      <c r="P91" s="90"/>
      <c r="Q91" s="90"/>
      <c r="R91" s="90"/>
      <c r="S91" s="90"/>
      <c r="T91" s="90"/>
    </row>
    <row r="92" spans="1:20" s="91" customFormat="1" ht="14.25">
      <c r="A92" s="86" t="s">
        <v>152</v>
      </c>
      <c r="B92" s="203"/>
      <c r="C92" s="230" t="s">
        <v>530</v>
      </c>
      <c r="D92" s="177" t="s">
        <v>391</v>
      </c>
      <c r="E92" s="41">
        <f>43+2</f>
        <v>45</v>
      </c>
      <c r="F92" s="41"/>
      <c r="G92" s="41"/>
      <c r="H92" s="41"/>
      <c r="I92" s="41"/>
      <c r="J92" s="41"/>
      <c r="K92" s="83"/>
      <c r="L92" s="90"/>
      <c r="M92" s="90"/>
      <c r="N92" s="274"/>
      <c r="O92" s="237"/>
      <c r="P92" s="90"/>
      <c r="Q92" s="90"/>
      <c r="R92" s="90"/>
      <c r="S92" s="90"/>
      <c r="T92" s="90"/>
    </row>
    <row r="93" spans="1:20" s="91" customFormat="1" ht="14.25">
      <c r="A93" s="86" t="s">
        <v>153</v>
      </c>
      <c r="B93" s="203"/>
      <c r="C93" s="204" t="s">
        <v>531</v>
      </c>
      <c r="D93" s="177" t="s">
        <v>391</v>
      </c>
      <c r="E93" s="205">
        <v>41</v>
      </c>
      <c r="F93" s="41"/>
      <c r="G93" s="41"/>
      <c r="H93" s="206"/>
      <c r="I93" s="41"/>
      <c r="J93" s="41"/>
      <c r="K93" s="83"/>
      <c r="L93" s="90"/>
      <c r="M93" s="90"/>
      <c r="N93" s="274"/>
      <c r="O93" s="237"/>
      <c r="P93" s="90"/>
      <c r="Q93" s="90"/>
      <c r="R93" s="90"/>
      <c r="S93" s="90"/>
      <c r="T93" s="90"/>
    </row>
    <row r="94" spans="1:20" s="91" customFormat="1" ht="14.25">
      <c r="A94" s="86" t="s">
        <v>154</v>
      </c>
      <c r="B94" s="203"/>
      <c r="C94" s="230" t="s">
        <v>532</v>
      </c>
      <c r="D94" s="177" t="s">
        <v>189</v>
      </c>
      <c r="E94" s="41">
        <f>226.68+3</f>
        <v>229.68</v>
      </c>
      <c r="F94" s="41"/>
      <c r="G94" s="41"/>
      <c r="H94" s="41"/>
      <c r="I94" s="41"/>
      <c r="J94" s="41"/>
      <c r="K94" s="83"/>
      <c r="L94" s="90"/>
      <c r="M94" s="90"/>
      <c r="N94" s="274"/>
      <c r="O94" s="45"/>
      <c r="P94" s="90"/>
      <c r="Q94" s="90"/>
      <c r="R94" s="90"/>
      <c r="S94" s="90"/>
      <c r="T94" s="90"/>
    </row>
    <row r="95" spans="1:20" s="91" customFormat="1" ht="14.25">
      <c r="A95" s="86" t="s">
        <v>155</v>
      </c>
      <c r="B95" s="203"/>
      <c r="C95" s="230" t="s">
        <v>534</v>
      </c>
      <c r="D95" s="177" t="s">
        <v>391</v>
      </c>
      <c r="E95" s="41">
        <f>17+2</f>
        <v>19</v>
      </c>
      <c r="F95" s="41"/>
      <c r="G95" s="41"/>
      <c r="H95" s="41"/>
      <c r="I95" s="41"/>
      <c r="J95" s="41"/>
      <c r="K95" s="83"/>
      <c r="L95" s="90"/>
      <c r="M95" s="90"/>
      <c r="N95" s="274"/>
      <c r="O95" s="237"/>
      <c r="P95" s="90"/>
      <c r="Q95" s="90"/>
      <c r="R95" s="90"/>
      <c r="S95" s="90"/>
      <c r="T95" s="90"/>
    </row>
    <row r="96" spans="1:20" s="91" customFormat="1" ht="14.25">
      <c r="A96" s="86" t="s">
        <v>156</v>
      </c>
      <c r="B96" s="203"/>
      <c r="C96" s="230" t="s">
        <v>535</v>
      </c>
      <c r="D96" s="177" t="s">
        <v>391</v>
      </c>
      <c r="E96" s="41">
        <v>9</v>
      </c>
      <c r="F96" s="41"/>
      <c r="G96" s="41"/>
      <c r="H96" s="41"/>
      <c r="I96" s="41"/>
      <c r="J96" s="41"/>
      <c r="K96" s="83"/>
      <c r="L96" s="90"/>
      <c r="M96" s="90"/>
      <c r="N96" s="274"/>
      <c r="O96" s="228"/>
      <c r="P96" s="90"/>
      <c r="Q96" s="90"/>
      <c r="R96" s="90"/>
      <c r="S96" s="90"/>
      <c r="T96" s="90"/>
    </row>
    <row r="97" spans="1:20" s="91" customFormat="1" ht="14.25">
      <c r="A97" s="86" t="s">
        <v>157</v>
      </c>
      <c r="B97" s="203"/>
      <c r="C97" s="230" t="s">
        <v>538</v>
      </c>
      <c r="D97" s="177" t="s">
        <v>391</v>
      </c>
      <c r="E97" s="41">
        <v>13</v>
      </c>
      <c r="F97" s="41"/>
      <c r="G97" s="41"/>
      <c r="H97" s="41"/>
      <c r="I97" s="41"/>
      <c r="J97" s="41"/>
      <c r="K97" s="83"/>
      <c r="L97" s="90"/>
      <c r="M97" s="90"/>
      <c r="N97" s="274"/>
      <c r="O97" s="228"/>
      <c r="P97" s="90"/>
      <c r="Q97" s="90"/>
      <c r="R97" s="90"/>
      <c r="S97" s="90"/>
      <c r="T97" s="90"/>
    </row>
    <row r="98" spans="1:20" s="91" customFormat="1" ht="14.25">
      <c r="A98" s="86" t="s">
        <v>537</v>
      </c>
      <c r="B98" s="203"/>
      <c r="C98" s="230" t="s">
        <v>540</v>
      </c>
      <c r="D98" s="177" t="s">
        <v>391</v>
      </c>
      <c r="E98" s="41">
        <v>2</v>
      </c>
      <c r="F98" s="41"/>
      <c r="G98" s="41"/>
      <c r="H98" s="41"/>
      <c r="I98" s="41"/>
      <c r="J98" s="41"/>
      <c r="K98" s="83"/>
      <c r="L98" s="90"/>
      <c r="M98" s="90"/>
      <c r="N98" s="278"/>
      <c r="O98" s="228"/>
      <c r="P98" s="90"/>
      <c r="Q98" s="90"/>
      <c r="R98" s="90"/>
      <c r="S98" s="90"/>
      <c r="T98" s="90"/>
    </row>
    <row r="99" spans="1:20" s="91" customFormat="1" ht="14.25">
      <c r="A99" s="86" t="s">
        <v>539</v>
      </c>
      <c r="B99" s="203"/>
      <c r="C99" s="211" t="s">
        <v>542</v>
      </c>
      <c r="D99" s="177" t="s">
        <v>391</v>
      </c>
      <c r="E99" s="41">
        <v>27</v>
      </c>
      <c r="F99" s="211"/>
      <c r="G99" s="41"/>
      <c r="H99" s="41"/>
      <c r="I99" s="41"/>
      <c r="J99" s="41"/>
      <c r="K99" s="83"/>
      <c r="L99" s="90"/>
      <c r="M99" s="90"/>
      <c r="N99" s="278"/>
      <c r="O99" s="228"/>
      <c r="P99" s="90"/>
      <c r="Q99" s="90"/>
      <c r="R99" s="90"/>
      <c r="S99" s="90"/>
      <c r="T99" s="90"/>
    </row>
    <row r="100" spans="1:20" s="91" customFormat="1" ht="14.25">
      <c r="A100" s="86" t="s">
        <v>541</v>
      </c>
      <c r="B100" s="203"/>
      <c r="C100" s="211" t="s">
        <v>544</v>
      </c>
      <c r="D100" s="177" t="s">
        <v>391</v>
      </c>
      <c r="E100" s="41">
        <v>14</v>
      </c>
      <c r="F100" s="211"/>
      <c r="G100" s="41"/>
      <c r="H100" s="211"/>
      <c r="I100" s="41"/>
      <c r="J100" s="41"/>
      <c r="K100" s="83"/>
      <c r="L100" s="90"/>
      <c r="M100" s="90"/>
      <c r="N100" s="278"/>
      <c r="O100" s="36"/>
      <c r="P100" s="90"/>
      <c r="Q100" s="90"/>
      <c r="R100" s="90"/>
      <c r="S100" s="90"/>
      <c r="T100" s="90"/>
    </row>
    <row r="101" spans="1:20" s="91" customFormat="1" ht="14.25">
      <c r="A101" s="86" t="s">
        <v>543</v>
      </c>
      <c r="B101" s="203"/>
      <c r="C101" s="211" t="s">
        <v>748</v>
      </c>
      <c r="D101" s="177" t="s">
        <v>391</v>
      </c>
      <c r="E101" s="41">
        <v>2</v>
      </c>
      <c r="F101" s="41"/>
      <c r="G101" s="41"/>
      <c r="H101" s="211"/>
      <c r="I101" s="41"/>
      <c r="J101" s="41"/>
      <c r="K101" s="83"/>
      <c r="L101" s="90"/>
      <c r="M101" s="90"/>
      <c r="N101" s="274"/>
      <c r="O101" s="228"/>
      <c r="P101" s="90"/>
      <c r="Q101" s="90"/>
      <c r="R101" s="90"/>
      <c r="S101" s="90"/>
      <c r="T101" s="90"/>
    </row>
    <row r="102" spans="1:20" s="91" customFormat="1" ht="14.25">
      <c r="A102" s="86" t="s">
        <v>545</v>
      </c>
      <c r="B102" s="214" t="s">
        <v>546</v>
      </c>
      <c r="C102" s="211" t="s">
        <v>749</v>
      </c>
      <c r="D102" s="177" t="s">
        <v>391</v>
      </c>
      <c r="E102" s="41">
        <v>1</v>
      </c>
      <c r="F102" s="41"/>
      <c r="G102" s="41"/>
      <c r="H102" s="211"/>
      <c r="I102" s="41"/>
      <c r="J102" s="41"/>
      <c r="K102" s="83"/>
      <c r="L102" s="90"/>
      <c r="M102" s="90"/>
      <c r="N102" s="90"/>
      <c r="O102" s="90"/>
      <c r="P102" s="90"/>
      <c r="Q102" s="90"/>
      <c r="R102" s="90"/>
      <c r="S102" s="90"/>
      <c r="T102" s="90"/>
    </row>
    <row r="103" spans="1:20" s="91" customFormat="1" ht="14.25">
      <c r="A103" s="86" t="s">
        <v>548</v>
      </c>
      <c r="B103" s="214" t="s">
        <v>546</v>
      </c>
      <c r="C103" s="211" t="s">
        <v>547</v>
      </c>
      <c r="D103" s="177" t="s">
        <v>391</v>
      </c>
      <c r="E103" s="41">
        <v>7</v>
      </c>
      <c r="F103" s="41"/>
      <c r="G103" s="41"/>
      <c r="H103" s="211"/>
      <c r="I103" s="41"/>
      <c r="J103" s="41"/>
      <c r="K103" s="83"/>
      <c r="L103" s="90"/>
      <c r="M103" s="90"/>
      <c r="N103" s="90"/>
      <c r="O103" s="90"/>
      <c r="P103" s="90"/>
      <c r="Q103" s="90"/>
      <c r="R103" s="90"/>
      <c r="S103" s="90"/>
      <c r="T103" s="90"/>
    </row>
    <row r="104" spans="1:20" s="91" customFormat="1" ht="14.25">
      <c r="A104" s="86" t="s">
        <v>550</v>
      </c>
      <c r="B104" s="214" t="s">
        <v>546</v>
      </c>
      <c r="C104" s="211" t="s">
        <v>549</v>
      </c>
      <c r="D104" s="177" t="s">
        <v>391</v>
      </c>
      <c r="E104" s="41">
        <v>8</v>
      </c>
      <c r="F104" s="41"/>
      <c r="G104" s="41"/>
      <c r="H104" s="211"/>
      <c r="I104" s="41"/>
      <c r="J104" s="41"/>
      <c r="K104" s="83"/>
      <c r="L104" s="90"/>
      <c r="M104" s="90"/>
      <c r="N104" s="90"/>
      <c r="O104" s="90"/>
      <c r="P104" s="90"/>
      <c r="Q104" s="90"/>
      <c r="R104" s="90"/>
      <c r="S104" s="90"/>
      <c r="T104" s="90"/>
    </row>
    <row r="105" spans="1:20" s="91" customFormat="1" ht="14.25">
      <c r="A105" s="86" t="s">
        <v>553</v>
      </c>
      <c r="B105" s="214" t="s">
        <v>546</v>
      </c>
      <c r="C105" s="211" t="s">
        <v>750</v>
      </c>
      <c r="D105" s="177" t="s">
        <v>391</v>
      </c>
      <c r="E105" s="41">
        <v>2</v>
      </c>
      <c r="F105" s="41"/>
      <c r="G105" s="41"/>
      <c r="H105" s="211"/>
      <c r="I105" s="41"/>
      <c r="J105" s="41"/>
      <c r="K105" s="83"/>
      <c r="L105" s="90"/>
      <c r="M105" s="90"/>
      <c r="N105" s="90"/>
      <c r="O105" s="90"/>
      <c r="P105" s="90"/>
      <c r="Q105" s="90"/>
      <c r="R105" s="90"/>
      <c r="S105" s="90"/>
      <c r="T105" s="90"/>
    </row>
    <row r="106" spans="1:20" s="91" customFormat="1" ht="14.25">
      <c r="A106" s="86" t="s">
        <v>555</v>
      </c>
      <c r="B106" s="203"/>
      <c r="C106" s="211" t="s">
        <v>754</v>
      </c>
      <c r="D106" s="177" t="s">
        <v>391</v>
      </c>
      <c r="E106" s="41">
        <v>1</v>
      </c>
      <c r="F106" s="41"/>
      <c r="G106" s="41"/>
      <c r="H106" s="211"/>
      <c r="I106" s="41"/>
      <c r="J106" s="41"/>
      <c r="K106" s="83"/>
      <c r="L106" s="90"/>
      <c r="M106" s="90"/>
      <c r="N106" s="90"/>
      <c r="O106" s="90"/>
      <c r="P106" s="90"/>
      <c r="Q106" s="90"/>
      <c r="R106" s="90"/>
      <c r="S106" s="90"/>
      <c r="T106" s="90"/>
    </row>
    <row r="107" spans="1:20" s="91" customFormat="1" ht="14.25">
      <c r="A107" s="86"/>
      <c r="B107" s="203"/>
      <c r="C107" s="211" t="s">
        <v>556</v>
      </c>
      <c r="D107" s="177" t="s">
        <v>391</v>
      </c>
      <c r="E107" s="41">
        <v>7</v>
      </c>
      <c r="F107" s="41"/>
      <c r="G107" s="41"/>
      <c r="H107" s="211"/>
      <c r="I107" s="41"/>
      <c r="J107" s="41"/>
      <c r="K107" s="83"/>
      <c r="L107" s="90"/>
      <c r="M107" s="90"/>
      <c r="N107" s="90"/>
      <c r="O107" s="90"/>
      <c r="P107" s="90"/>
      <c r="Q107" s="90"/>
      <c r="R107" s="90"/>
      <c r="S107" s="90"/>
      <c r="T107" s="90"/>
    </row>
    <row r="108" spans="1:20" s="91" customFormat="1" ht="14.25">
      <c r="A108" s="86" t="s">
        <v>557</v>
      </c>
      <c r="B108" s="280" t="s">
        <v>558</v>
      </c>
      <c r="C108" s="211" t="s">
        <v>559</v>
      </c>
      <c r="D108" s="177" t="s">
        <v>391</v>
      </c>
      <c r="E108" s="41">
        <v>1</v>
      </c>
      <c r="F108" s="41"/>
      <c r="G108" s="41"/>
      <c r="H108" s="211"/>
      <c r="I108" s="41"/>
      <c r="J108" s="41"/>
      <c r="K108" s="83"/>
      <c r="L108" s="90"/>
      <c r="M108" s="90"/>
      <c r="N108" s="90"/>
      <c r="O108" s="90"/>
      <c r="P108" s="90"/>
      <c r="Q108" s="90"/>
      <c r="R108" s="90"/>
      <c r="S108" s="90"/>
      <c r="T108" s="90"/>
    </row>
    <row r="109" spans="1:20" ht="14.25">
      <c r="A109" s="67" t="s">
        <v>158</v>
      </c>
      <c r="B109" s="67"/>
      <c r="C109" s="67"/>
      <c r="D109" s="67"/>
      <c r="E109" s="67"/>
      <c r="F109" s="67"/>
      <c r="G109" s="67"/>
      <c r="H109" s="67"/>
      <c r="I109" s="67"/>
      <c r="J109" s="267"/>
      <c r="K109" s="260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s="42" customFormat="1" ht="13.5">
      <c r="A110" s="34" t="s">
        <v>159</v>
      </c>
      <c r="B110" s="95" t="s">
        <v>160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s="42" customFormat="1" ht="13.5">
      <c r="A111" s="37" t="s">
        <v>161</v>
      </c>
      <c r="B111" s="37"/>
      <c r="C111" s="204" t="s">
        <v>560</v>
      </c>
      <c r="D111" s="281" t="s">
        <v>189</v>
      </c>
      <c r="E111" s="218">
        <v>116.2</v>
      </c>
      <c r="F111" s="41"/>
      <c r="G111" s="41"/>
      <c r="H111" s="41"/>
      <c r="I111" s="41"/>
      <c r="J111" s="41"/>
      <c r="K111" s="83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s="42" customFormat="1" ht="13.5">
      <c r="A112" s="37" t="s">
        <v>162</v>
      </c>
      <c r="B112" s="37"/>
      <c r="C112" s="204" t="s">
        <v>561</v>
      </c>
      <c r="D112" s="177" t="s">
        <v>391</v>
      </c>
      <c r="E112" s="218">
        <v>4</v>
      </c>
      <c r="F112" s="206"/>
      <c r="G112" s="41"/>
      <c r="H112" s="206"/>
      <c r="I112" s="41"/>
      <c r="J112" s="41"/>
      <c r="K112" s="83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s="42" customFormat="1" ht="13.5">
      <c r="A113" s="37" t="s">
        <v>163</v>
      </c>
      <c r="B113" s="37"/>
      <c r="C113" s="204" t="s">
        <v>562</v>
      </c>
      <c r="D113" s="177" t="s">
        <v>391</v>
      </c>
      <c r="E113" s="218">
        <v>4</v>
      </c>
      <c r="F113" s="206"/>
      <c r="G113" s="41"/>
      <c r="H113" s="206"/>
      <c r="I113" s="41"/>
      <c r="J113" s="41"/>
      <c r="K113" s="83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42" customFormat="1" ht="23.25">
      <c r="A114" s="37" t="s">
        <v>164</v>
      </c>
      <c r="B114" s="37"/>
      <c r="C114" s="277" t="s">
        <v>563</v>
      </c>
      <c r="D114" s="283" t="s">
        <v>391</v>
      </c>
      <c r="E114" s="218">
        <v>1</v>
      </c>
      <c r="F114" s="206"/>
      <c r="G114" s="220"/>
      <c r="H114" s="206"/>
      <c r="I114" s="220"/>
      <c r="J114" s="220"/>
      <c r="K114" s="83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42" customFormat="1" ht="13.5">
      <c r="A115" s="37" t="s">
        <v>165</v>
      </c>
      <c r="B115" s="37"/>
      <c r="C115" s="204" t="s">
        <v>564</v>
      </c>
      <c r="D115" s="281" t="s">
        <v>189</v>
      </c>
      <c r="E115" s="218">
        <v>89.39</v>
      </c>
      <c r="F115" s="206"/>
      <c r="G115" s="41"/>
      <c r="H115" s="206"/>
      <c r="I115" s="41"/>
      <c r="J115" s="41"/>
      <c r="K115" s="83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s="42" customFormat="1" ht="13.5">
      <c r="A116" s="37" t="s">
        <v>166</v>
      </c>
      <c r="B116" s="37"/>
      <c r="C116" s="313" t="s">
        <v>565</v>
      </c>
      <c r="D116" s="314" t="s">
        <v>189</v>
      </c>
      <c r="E116" s="223">
        <v>139.44</v>
      </c>
      <c r="F116" s="315"/>
      <c r="G116" s="41"/>
      <c r="H116" s="315"/>
      <c r="I116" s="41"/>
      <c r="J116" s="41"/>
      <c r="K116" s="83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2" s="42" customFormat="1" ht="13.5">
      <c r="A117" s="37" t="s">
        <v>167</v>
      </c>
      <c r="B117" s="37"/>
      <c r="C117" s="230" t="s">
        <v>530</v>
      </c>
      <c r="D117" s="177" t="s">
        <v>391</v>
      </c>
      <c r="E117" s="178">
        <v>12</v>
      </c>
      <c r="F117" s="41"/>
      <c r="G117" s="41"/>
      <c r="H117" s="41"/>
      <c r="I117" s="41"/>
      <c r="J117" s="41"/>
      <c r="K117" s="83"/>
      <c r="L117" s="36"/>
      <c r="M117" s="36"/>
      <c r="N117" s="36"/>
      <c r="O117" s="36"/>
      <c r="P117" s="36"/>
      <c r="Q117" s="36"/>
      <c r="R117" s="36"/>
      <c r="S117" s="36"/>
      <c r="T117" s="36"/>
      <c r="U117" s="63"/>
      <c r="V117" s="63"/>
    </row>
    <row r="118" spans="1:22" s="42" customFormat="1" ht="13.5">
      <c r="A118" s="100" t="s">
        <v>171</v>
      </c>
      <c r="B118" s="100"/>
      <c r="C118" s="100"/>
      <c r="D118" s="100"/>
      <c r="E118" s="100"/>
      <c r="F118" s="100"/>
      <c r="G118" s="100"/>
      <c r="H118" s="100"/>
      <c r="I118" s="100"/>
      <c r="J118" s="101"/>
      <c r="K118" s="101"/>
      <c r="L118" s="36"/>
      <c r="M118" s="36"/>
      <c r="N118" s="36"/>
      <c r="O118" s="36"/>
      <c r="P118" s="36"/>
      <c r="Q118" s="36"/>
      <c r="R118" s="36"/>
      <c r="S118" s="36"/>
      <c r="T118" s="36"/>
      <c r="U118" s="63"/>
      <c r="V118" s="63"/>
    </row>
    <row r="119" spans="1:22" s="42" customFormat="1" ht="13.5">
      <c r="A119" s="34" t="s">
        <v>172</v>
      </c>
      <c r="B119" s="55" t="s">
        <v>173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36"/>
      <c r="M119" s="36"/>
      <c r="N119" s="36"/>
      <c r="O119" s="36"/>
      <c r="P119" s="36"/>
      <c r="Q119" s="36"/>
      <c r="R119" s="36"/>
      <c r="S119" s="36"/>
      <c r="T119" s="36"/>
      <c r="U119" s="63"/>
      <c r="V119" s="63"/>
    </row>
    <row r="120" spans="1:22" s="42" customFormat="1" ht="13.5">
      <c r="A120" s="37" t="s">
        <v>174</v>
      </c>
      <c r="B120" s="210" t="s">
        <v>194</v>
      </c>
      <c r="C120" s="211" t="s">
        <v>566</v>
      </c>
      <c r="D120" s="177" t="s">
        <v>189</v>
      </c>
      <c r="E120" s="41">
        <v>49.78</v>
      </c>
      <c r="F120" s="41"/>
      <c r="G120" s="41"/>
      <c r="H120" s="41"/>
      <c r="I120" s="41"/>
      <c r="J120" s="41"/>
      <c r="K120" s="83"/>
      <c r="L120" s="36"/>
      <c r="M120" s="36"/>
      <c r="N120" s="36"/>
      <c r="O120" s="36"/>
      <c r="P120" s="36"/>
      <c r="Q120" s="36"/>
      <c r="R120" s="36"/>
      <c r="S120" s="36"/>
      <c r="T120" s="36"/>
      <c r="U120" s="63"/>
      <c r="V120" s="63"/>
    </row>
    <row r="121" spans="1:22" s="42" customFormat="1" ht="13.5">
      <c r="A121" s="37" t="s">
        <v>175</v>
      </c>
      <c r="B121" s="210" t="s">
        <v>567</v>
      </c>
      <c r="C121" s="211" t="s">
        <v>568</v>
      </c>
      <c r="D121" s="177" t="s">
        <v>189</v>
      </c>
      <c r="E121" s="41">
        <v>5.2</v>
      </c>
      <c r="F121" s="41"/>
      <c r="G121" s="41"/>
      <c r="H121" s="41"/>
      <c r="I121" s="41"/>
      <c r="J121" s="41"/>
      <c r="K121" s="83"/>
      <c r="L121" s="36"/>
      <c r="M121" s="36"/>
      <c r="N121" s="36"/>
      <c r="O121" s="278"/>
      <c r="P121" s="228"/>
      <c r="Q121" s="36"/>
      <c r="R121" s="36"/>
      <c r="S121" s="36"/>
      <c r="T121" s="36"/>
      <c r="U121" s="63"/>
      <c r="V121" s="63"/>
    </row>
    <row r="122" spans="1:22" s="42" customFormat="1" ht="13.5">
      <c r="A122" s="37" t="s">
        <v>176</v>
      </c>
      <c r="B122" s="210" t="s">
        <v>569</v>
      </c>
      <c r="C122" s="211" t="s">
        <v>570</v>
      </c>
      <c r="D122" s="177" t="s">
        <v>189</v>
      </c>
      <c r="E122" s="41">
        <v>20.99</v>
      </c>
      <c r="F122" s="41"/>
      <c r="G122" s="41"/>
      <c r="H122" s="41"/>
      <c r="I122" s="41"/>
      <c r="J122" s="41"/>
      <c r="K122" s="83"/>
      <c r="L122" s="36"/>
      <c r="M122" s="36"/>
      <c r="N122" s="36"/>
      <c r="O122" s="278"/>
      <c r="P122" s="228"/>
      <c r="Q122" s="36"/>
      <c r="R122" s="36"/>
      <c r="S122" s="36"/>
      <c r="T122" s="36"/>
      <c r="U122" s="63"/>
      <c r="V122" s="63"/>
    </row>
    <row r="123" spans="1:22" s="42" customFormat="1" ht="13.5">
      <c r="A123" s="37" t="s">
        <v>177</v>
      </c>
      <c r="B123" s="210" t="s">
        <v>573</v>
      </c>
      <c r="C123" s="211" t="s">
        <v>574</v>
      </c>
      <c r="D123" s="177" t="s">
        <v>189</v>
      </c>
      <c r="E123" s="41">
        <v>65.74</v>
      </c>
      <c r="F123" s="41"/>
      <c r="G123" s="41"/>
      <c r="H123" s="41"/>
      <c r="I123" s="41"/>
      <c r="J123" s="41"/>
      <c r="K123" s="83"/>
      <c r="L123" s="36"/>
      <c r="M123" s="36"/>
      <c r="N123" s="36"/>
      <c r="O123" s="278"/>
      <c r="P123" s="228"/>
      <c r="Q123" s="36"/>
      <c r="R123" s="36"/>
      <c r="S123" s="36"/>
      <c r="T123" s="36"/>
      <c r="U123" s="63"/>
      <c r="V123" s="63"/>
    </row>
    <row r="124" spans="1:22" s="42" customFormat="1" ht="13.5">
      <c r="A124" s="37" t="s">
        <v>178</v>
      </c>
      <c r="B124" s="210" t="s">
        <v>579</v>
      </c>
      <c r="C124" s="211" t="s">
        <v>580</v>
      </c>
      <c r="D124" s="177" t="s">
        <v>189</v>
      </c>
      <c r="E124" s="41">
        <v>16.19</v>
      </c>
      <c r="F124" s="41"/>
      <c r="G124" s="41"/>
      <c r="H124" s="41"/>
      <c r="I124" s="41"/>
      <c r="J124" s="41"/>
      <c r="K124" s="83"/>
      <c r="L124" s="36"/>
      <c r="M124" s="36"/>
      <c r="N124" s="36"/>
      <c r="O124" s="278"/>
      <c r="P124" s="228"/>
      <c r="Q124" s="36"/>
      <c r="R124" s="36"/>
      <c r="S124" s="36"/>
      <c r="T124" s="36"/>
      <c r="U124" s="63"/>
      <c r="V124" s="63"/>
    </row>
    <row r="125" spans="1:22" s="42" customFormat="1" ht="13.5">
      <c r="A125" s="37" t="s">
        <v>179</v>
      </c>
      <c r="B125" s="37"/>
      <c r="C125" s="211" t="s">
        <v>759</v>
      </c>
      <c r="D125" s="177" t="s">
        <v>189</v>
      </c>
      <c r="E125" s="41">
        <v>59</v>
      </c>
      <c r="F125" s="41"/>
      <c r="G125" s="41"/>
      <c r="H125" s="41"/>
      <c r="I125" s="41"/>
      <c r="J125" s="41"/>
      <c r="K125" s="83"/>
      <c r="L125" s="36"/>
      <c r="M125" s="36"/>
      <c r="N125" s="36"/>
      <c r="O125" s="278"/>
      <c r="P125" s="228"/>
      <c r="Q125" s="36"/>
      <c r="R125" s="36"/>
      <c r="S125" s="36"/>
      <c r="T125" s="36"/>
      <c r="U125" s="63"/>
      <c r="V125" s="63"/>
    </row>
    <row r="126" spans="1:22" s="42" customFormat="1" ht="13.5">
      <c r="A126" s="37" t="s">
        <v>180</v>
      </c>
      <c r="B126" s="37"/>
      <c r="C126" s="211" t="s">
        <v>760</v>
      </c>
      <c r="D126" s="177" t="s">
        <v>189</v>
      </c>
      <c r="E126" s="41">
        <v>68.47</v>
      </c>
      <c r="F126" s="41"/>
      <c r="G126" s="41"/>
      <c r="H126" s="41"/>
      <c r="I126" s="41"/>
      <c r="J126" s="41"/>
      <c r="K126" s="83"/>
      <c r="L126" s="36"/>
      <c r="M126" s="36"/>
      <c r="N126" s="36"/>
      <c r="O126" s="278"/>
      <c r="P126" s="228"/>
      <c r="Q126" s="36"/>
      <c r="R126" s="36"/>
      <c r="S126" s="36"/>
      <c r="T126" s="36"/>
      <c r="U126" s="63"/>
      <c r="V126" s="63"/>
    </row>
    <row r="127" spans="1:22" s="42" customFormat="1" ht="13.5">
      <c r="A127" s="37" t="s">
        <v>181</v>
      </c>
      <c r="B127" s="210">
        <v>72557</v>
      </c>
      <c r="C127" s="211" t="s">
        <v>581</v>
      </c>
      <c r="D127" s="177" t="s">
        <v>391</v>
      </c>
      <c r="E127" s="41">
        <v>17</v>
      </c>
      <c r="F127" s="41"/>
      <c r="G127" s="41"/>
      <c r="H127" s="41"/>
      <c r="I127" s="41"/>
      <c r="J127" s="41"/>
      <c r="K127" s="83"/>
      <c r="L127" s="36"/>
      <c r="M127" s="36"/>
      <c r="N127" s="36"/>
      <c r="O127" s="278"/>
      <c r="P127" s="228"/>
      <c r="Q127" s="36"/>
      <c r="R127" s="36"/>
      <c r="S127" s="36"/>
      <c r="T127" s="36"/>
      <c r="U127" s="63"/>
      <c r="V127" s="63"/>
    </row>
    <row r="128" spans="1:22" s="42" customFormat="1" ht="13.5">
      <c r="A128" s="37" t="s">
        <v>182</v>
      </c>
      <c r="B128" s="210">
        <v>72564</v>
      </c>
      <c r="C128" s="211" t="s">
        <v>583</v>
      </c>
      <c r="D128" s="177" t="s">
        <v>391</v>
      </c>
      <c r="E128" s="41">
        <v>4</v>
      </c>
      <c r="F128" s="41"/>
      <c r="G128" s="41"/>
      <c r="H128" s="41"/>
      <c r="I128" s="41"/>
      <c r="J128" s="41"/>
      <c r="K128" s="83"/>
      <c r="L128" s="36"/>
      <c r="M128" s="36"/>
      <c r="N128" s="36"/>
      <c r="O128" s="278"/>
      <c r="P128" s="228"/>
      <c r="Q128" s="36"/>
      <c r="R128" s="36"/>
      <c r="S128" s="36"/>
      <c r="T128" s="36"/>
      <c r="U128" s="63"/>
      <c r="V128" s="63"/>
    </row>
    <row r="129" spans="1:22" s="42" customFormat="1" ht="13.5">
      <c r="A129" s="37" t="s">
        <v>183</v>
      </c>
      <c r="B129" s="202">
        <v>72580</v>
      </c>
      <c r="C129" s="211" t="s">
        <v>589</v>
      </c>
      <c r="D129" s="177" t="s">
        <v>391</v>
      </c>
      <c r="E129" s="41">
        <v>7</v>
      </c>
      <c r="F129" s="41"/>
      <c r="G129" s="41"/>
      <c r="H129" s="41"/>
      <c r="I129" s="41"/>
      <c r="J129" s="41"/>
      <c r="K129" s="83"/>
      <c r="L129" s="36"/>
      <c r="M129" s="36"/>
      <c r="N129" s="36"/>
      <c r="O129" s="278"/>
      <c r="P129" s="228"/>
      <c r="Q129" s="36"/>
      <c r="R129" s="36"/>
      <c r="S129" s="36"/>
      <c r="T129" s="36"/>
      <c r="U129" s="63"/>
      <c r="V129" s="63"/>
    </row>
    <row r="130" spans="1:22" s="42" customFormat="1" ht="13.5">
      <c r="A130" s="37" t="s">
        <v>184</v>
      </c>
      <c r="B130" s="37"/>
      <c r="C130" s="211" t="s">
        <v>763</v>
      </c>
      <c r="D130" s="177" t="s">
        <v>391</v>
      </c>
      <c r="E130" s="41">
        <v>14</v>
      </c>
      <c r="F130" s="41"/>
      <c r="G130" s="41"/>
      <c r="H130" s="41"/>
      <c r="I130" s="41"/>
      <c r="J130" s="41"/>
      <c r="K130" s="83"/>
      <c r="L130" s="36"/>
      <c r="M130" s="36"/>
      <c r="N130" s="36"/>
      <c r="O130" s="278"/>
      <c r="P130" s="228"/>
      <c r="Q130" s="36"/>
      <c r="R130" s="36"/>
      <c r="S130" s="36"/>
      <c r="T130" s="36"/>
      <c r="U130" s="63"/>
      <c r="V130" s="63"/>
    </row>
    <row r="131" spans="1:22" s="42" customFormat="1" ht="13.5">
      <c r="A131" s="37" t="s">
        <v>226</v>
      </c>
      <c r="B131" s="37"/>
      <c r="C131" s="211" t="s">
        <v>764</v>
      </c>
      <c r="D131" s="177" t="s">
        <v>391</v>
      </c>
      <c r="E131" s="41">
        <v>20</v>
      </c>
      <c r="F131" s="41"/>
      <c r="G131" s="41"/>
      <c r="H131" s="41"/>
      <c r="I131" s="41"/>
      <c r="J131" s="41"/>
      <c r="K131" s="83"/>
      <c r="L131" s="36"/>
      <c r="M131" s="36"/>
      <c r="N131" s="36"/>
      <c r="O131" s="278"/>
      <c r="P131" s="228"/>
      <c r="Q131" s="36"/>
      <c r="R131" s="36"/>
      <c r="S131" s="36"/>
      <c r="T131" s="36"/>
      <c r="U131" s="63"/>
      <c r="V131" s="63"/>
    </row>
    <row r="132" spans="1:22" s="42" customFormat="1" ht="13.5">
      <c r="A132" s="37" t="s">
        <v>236</v>
      </c>
      <c r="B132" s="37"/>
      <c r="C132" s="211" t="s">
        <v>765</v>
      </c>
      <c r="D132" s="177" t="s">
        <v>391</v>
      </c>
      <c r="E132" s="41">
        <v>5</v>
      </c>
      <c r="F132" s="41"/>
      <c r="G132" s="41"/>
      <c r="H132" s="41"/>
      <c r="I132" s="41"/>
      <c r="J132" s="41"/>
      <c r="K132" s="83"/>
      <c r="L132" s="36"/>
      <c r="M132" s="36"/>
      <c r="N132" s="36"/>
      <c r="O132" s="269"/>
      <c r="P132" s="228"/>
      <c r="Q132" s="36"/>
      <c r="R132" s="36"/>
      <c r="S132" s="36"/>
      <c r="T132" s="36"/>
      <c r="U132" s="63"/>
      <c r="V132" s="63"/>
    </row>
    <row r="133" spans="1:22" s="42" customFormat="1" ht="13.5">
      <c r="A133" s="37" t="s">
        <v>586</v>
      </c>
      <c r="B133" s="37"/>
      <c r="C133" s="211" t="s">
        <v>591</v>
      </c>
      <c r="D133" s="177" t="s">
        <v>391</v>
      </c>
      <c r="E133" s="41">
        <v>1</v>
      </c>
      <c r="F133" s="41"/>
      <c r="G133" s="41"/>
      <c r="H133" s="41"/>
      <c r="I133" s="41"/>
      <c r="J133" s="41"/>
      <c r="K133" s="83"/>
      <c r="L133" s="36"/>
      <c r="M133" s="36"/>
      <c r="N133" s="36"/>
      <c r="O133" s="269"/>
      <c r="P133" s="228"/>
      <c r="Q133" s="36"/>
      <c r="R133" s="36"/>
      <c r="S133" s="36"/>
      <c r="T133" s="36"/>
      <c r="U133" s="63"/>
      <c r="V133" s="63"/>
    </row>
    <row r="134" spans="1:22" s="42" customFormat="1" ht="13.5">
      <c r="A134" s="37" t="s">
        <v>588</v>
      </c>
      <c r="B134" s="37"/>
      <c r="C134" s="211" t="s">
        <v>593</v>
      </c>
      <c r="D134" s="177" t="s">
        <v>391</v>
      </c>
      <c r="E134" s="41">
        <v>5</v>
      </c>
      <c r="F134" s="41"/>
      <c r="G134" s="41"/>
      <c r="H134" s="41"/>
      <c r="I134" s="41"/>
      <c r="J134" s="41"/>
      <c r="K134" s="83"/>
      <c r="L134" s="36"/>
      <c r="M134" s="36"/>
      <c r="N134" s="36"/>
      <c r="O134" s="269"/>
      <c r="P134" s="228"/>
      <c r="Q134" s="36"/>
      <c r="R134" s="36"/>
      <c r="S134" s="36"/>
      <c r="T134" s="36"/>
      <c r="U134" s="63"/>
      <c r="V134" s="63"/>
    </row>
    <row r="135" spans="1:22" s="42" customFormat="1" ht="13.5">
      <c r="A135" s="37" t="s">
        <v>590</v>
      </c>
      <c r="B135" s="37"/>
      <c r="C135" s="211" t="s">
        <v>595</v>
      </c>
      <c r="D135" s="177" t="s">
        <v>391</v>
      </c>
      <c r="E135" s="41">
        <v>4</v>
      </c>
      <c r="F135" s="41"/>
      <c r="G135" s="41"/>
      <c r="H135" s="41"/>
      <c r="I135" s="41"/>
      <c r="J135" s="41"/>
      <c r="K135" s="83"/>
      <c r="L135" s="36"/>
      <c r="M135" s="36"/>
      <c r="N135" s="36"/>
      <c r="O135" s="269"/>
      <c r="P135" s="228"/>
      <c r="Q135" s="36"/>
      <c r="R135" s="36"/>
      <c r="S135" s="36"/>
      <c r="T135" s="36"/>
      <c r="U135" s="63"/>
      <c r="V135" s="63"/>
    </row>
    <row r="136" spans="1:22" s="42" customFormat="1" ht="13.5">
      <c r="A136" s="37" t="s">
        <v>592</v>
      </c>
      <c r="B136" s="37"/>
      <c r="C136" s="211" t="s">
        <v>767</v>
      </c>
      <c r="D136" s="177" t="s">
        <v>391</v>
      </c>
      <c r="E136" s="41">
        <v>3</v>
      </c>
      <c r="F136" s="41"/>
      <c r="G136" s="41"/>
      <c r="H136" s="41"/>
      <c r="I136" s="41"/>
      <c r="J136" s="41"/>
      <c r="K136" s="83"/>
      <c r="L136" s="36"/>
      <c r="M136" s="36"/>
      <c r="N136" s="36"/>
      <c r="O136" s="296"/>
      <c r="P136" s="228"/>
      <c r="Q136" s="36"/>
      <c r="R136" s="36"/>
      <c r="S136" s="36"/>
      <c r="T136" s="36"/>
      <c r="U136" s="63"/>
      <c r="V136" s="63"/>
    </row>
    <row r="137" spans="1:22" s="42" customFormat="1" ht="13.5">
      <c r="A137" s="37" t="s">
        <v>594</v>
      </c>
      <c r="B137" s="37"/>
      <c r="C137" s="211" t="s">
        <v>768</v>
      </c>
      <c r="D137" s="177" t="s">
        <v>391</v>
      </c>
      <c r="E137" s="41">
        <v>5</v>
      </c>
      <c r="F137" s="41"/>
      <c r="G137" s="41"/>
      <c r="H137" s="41"/>
      <c r="I137" s="41"/>
      <c r="J137" s="41"/>
      <c r="K137" s="83"/>
      <c r="L137" s="36"/>
      <c r="M137" s="36"/>
      <c r="N137" s="36"/>
      <c r="O137" s="296"/>
      <c r="P137" s="228"/>
      <c r="Q137" s="36"/>
      <c r="R137" s="36"/>
      <c r="S137" s="36"/>
      <c r="T137" s="36"/>
      <c r="U137" s="63"/>
      <c r="V137" s="63"/>
    </row>
    <row r="138" spans="1:22" s="42" customFormat="1" ht="13.5">
      <c r="A138" s="37" t="s">
        <v>596</v>
      </c>
      <c r="B138" s="37"/>
      <c r="C138" s="211" t="s">
        <v>769</v>
      </c>
      <c r="D138" s="177" t="s">
        <v>391</v>
      </c>
      <c r="E138" s="41">
        <v>10</v>
      </c>
      <c r="F138" s="41"/>
      <c r="G138" s="41"/>
      <c r="H138" s="41"/>
      <c r="I138" s="41"/>
      <c r="J138" s="41"/>
      <c r="K138" s="83"/>
      <c r="L138" s="36"/>
      <c r="M138" s="36"/>
      <c r="N138" s="36"/>
      <c r="O138" s="296"/>
      <c r="P138" s="228"/>
      <c r="Q138" s="36"/>
      <c r="R138" s="36"/>
      <c r="S138" s="36"/>
      <c r="T138" s="36"/>
      <c r="U138" s="63"/>
      <c r="V138" s="63"/>
    </row>
    <row r="139" spans="1:22" s="42" customFormat="1" ht="13.5">
      <c r="A139" s="37" t="s">
        <v>598</v>
      </c>
      <c r="B139" s="37"/>
      <c r="C139" s="211" t="s">
        <v>597</v>
      </c>
      <c r="D139" s="177" t="s">
        <v>391</v>
      </c>
      <c r="E139" s="41">
        <v>10</v>
      </c>
      <c r="F139" s="41"/>
      <c r="G139" s="41"/>
      <c r="H139" s="41"/>
      <c r="I139" s="41"/>
      <c r="J139" s="41"/>
      <c r="K139" s="83"/>
      <c r="L139" s="36"/>
      <c r="M139" s="36"/>
      <c r="N139" s="36"/>
      <c r="O139" s="296"/>
      <c r="P139" s="228"/>
      <c r="Q139" s="36"/>
      <c r="R139" s="36"/>
      <c r="S139" s="36"/>
      <c r="T139" s="36"/>
      <c r="U139" s="63"/>
      <c r="V139" s="63"/>
    </row>
    <row r="140" spans="1:22" s="42" customFormat="1" ht="13.5">
      <c r="A140" s="37" t="s">
        <v>600</v>
      </c>
      <c r="B140" s="37"/>
      <c r="C140" s="211" t="s">
        <v>599</v>
      </c>
      <c r="D140" s="177" t="s">
        <v>391</v>
      </c>
      <c r="E140" s="41">
        <v>4</v>
      </c>
      <c r="F140" s="41"/>
      <c r="G140" s="41"/>
      <c r="H140" s="41"/>
      <c r="I140" s="41"/>
      <c r="J140" s="41"/>
      <c r="K140" s="83"/>
      <c r="L140" s="36"/>
      <c r="M140" s="36"/>
      <c r="N140" s="36"/>
      <c r="O140" s="296"/>
      <c r="P140" s="228"/>
      <c r="Q140" s="36"/>
      <c r="R140" s="36"/>
      <c r="S140" s="36"/>
      <c r="T140" s="36"/>
      <c r="U140" s="63"/>
      <c r="V140" s="63"/>
    </row>
    <row r="141" spans="1:22" s="42" customFormat="1" ht="13.5">
      <c r="A141" s="37" t="s">
        <v>602</v>
      </c>
      <c r="B141" s="37"/>
      <c r="C141" s="211" t="s">
        <v>603</v>
      </c>
      <c r="D141" s="177" t="s">
        <v>391</v>
      </c>
      <c r="E141" s="41">
        <v>2</v>
      </c>
      <c r="F141" s="41"/>
      <c r="G141" s="41"/>
      <c r="H141" s="41"/>
      <c r="I141" s="41"/>
      <c r="J141" s="41"/>
      <c r="K141" s="83"/>
      <c r="L141" s="36"/>
      <c r="M141" s="36"/>
      <c r="N141" s="36"/>
      <c r="O141" s="296"/>
      <c r="P141" s="228"/>
      <c r="Q141" s="36"/>
      <c r="R141" s="36"/>
      <c r="S141" s="36"/>
      <c r="T141" s="36"/>
      <c r="U141" s="63"/>
      <c r="V141" s="63"/>
    </row>
    <row r="142" spans="1:22" s="42" customFormat="1" ht="13.5">
      <c r="A142" s="37" t="s">
        <v>604</v>
      </c>
      <c r="B142" s="37"/>
      <c r="C142" s="211" t="s">
        <v>605</v>
      </c>
      <c r="D142" s="177" t="s">
        <v>391</v>
      </c>
      <c r="E142" s="41">
        <v>4</v>
      </c>
      <c r="F142" s="41"/>
      <c r="G142" s="41"/>
      <c r="H142" s="41"/>
      <c r="I142" s="41"/>
      <c r="J142" s="41"/>
      <c r="K142" s="83"/>
      <c r="L142" s="36"/>
      <c r="M142" s="36"/>
      <c r="N142" s="36"/>
      <c r="O142" s="296"/>
      <c r="P142" s="228"/>
      <c r="Q142" s="36"/>
      <c r="R142" s="36"/>
      <c r="S142" s="36"/>
      <c r="T142" s="36"/>
      <c r="U142" s="63"/>
      <c r="V142" s="63"/>
    </row>
    <row r="143" spans="1:22" s="42" customFormat="1" ht="13.5">
      <c r="A143" s="37" t="s">
        <v>606</v>
      </c>
      <c r="B143" s="37"/>
      <c r="C143" s="230" t="s">
        <v>607</v>
      </c>
      <c r="D143" s="177" t="s">
        <v>391</v>
      </c>
      <c r="E143" s="41">
        <v>3</v>
      </c>
      <c r="F143" s="41"/>
      <c r="G143" s="41"/>
      <c r="H143" s="41"/>
      <c r="I143" s="41"/>
      <c r="J143" s="41"/>
      <c r="K143" s="83"/>
      <c r="L143" s="36"/>
      <c r="M143" s="36"/>
      <c r="N143" s="36"/>
      <c r="O143" s="296"/>
      <c r="P143" s="228"/>
      <c r="Q143" s="36"/>
      <c r="R143" s="36"/>
      <c r="S143" s="36"/>
      <c r="T143" s="36"/>
      <c r="U143" s="63"/>
      <c r="V143" s="63"/>
    </row>
    <row r="144" spans="1:22" s="42" customFormat="1" ht="13.5">
      <c r="A144" s="37" t="s">
        <v>608</v>
      </c>
      <c r="B144" s="37"/>
      <c r="C144" s="230" t="s">
        <v>771</v>
      </c>
      <c r="D144" s="177" t="s">
        <v>391</v>
      </c>
      <c r="E144" s="41">
        <v>2</v>
      </c>
      <c r="F144" s="41"/>
      <c r="G144" s="41"/>
      <c r="H144" s="41"/>
      <c r="I144" s="41"/>
      <c r="J144" s="41"/>
      <c r="K144" s="83"/>
      <c r="L144" s="36"/>
      <c r="M144" s="36"/>
      <c r="N144" s="36"/>
      <c r="O144" s="296"/>
      <c r="P144" s="237"/>
      <c r="Q144" s="36"/>
      <c r="R144" s="36"/>
      <c r="S144" s="36"/>
      <c r="T144" s="36"/>
      <c r="U144" s="63"/>
      <c r="V144" s="63"/>
    </row>
    <row r="145" spans="1:22" s="42" customFormat="1" ht="13.5">
      <c r="A145" s="37" t="s">
        <v>610</v>
      </c>
      <c r="B145" s="37"/>
      <c r="C145" s="230" t="s">
        <v>772</v>
      </c>
      <c r="D145" s="177" t="s">
        <v>391</v>
      </c>
      <c r="E145" s="41">
        <v>9</v>
      </c>
      <c r="F145" s="41"/>
      <c r="G145" s="41"/>
      <c r="H145" s="41"/>
      <c r="I145" s="41"/>
      <c r="J145" s="41"/>
      <c r="K145" s="83"/>
      <c r="L145" s="36"/>
      <c r="M145" s="36"/>
      <c r="N145" s="36"/>
      <c r="O145" s="296"/>
      <c r="P145" s="237"/>
      <c r="Q145" s="36"/>
      <c r="R145" s="36"/>
      <c r="S145" s="36"/>
      <c r="T145" s="36"/>
      <c r="U145" s="63"/>
      <c r="V145" s="63"/>
    </row>
    <row r="146" spans="1:22" s="42" customFormat="1" ht="13.5">
      <c r="A146" s="37" t="s">
        <v>613</v>
      </c>
      <c r="B146" s="231" t="s">
        <v>611</v>
      </c>
      <c r="C146" s="230" t="s">
        <v>609</v>
      </c>
      <c r="D146" s="177" t="s">
        <v>391</v>
      </c>
      <c r="E146" s="41">
        <v>3</v>
      </c>
      <c r="F146" s="41"/>
      <c r="G146" s="41"/>
      <c r="H146" s="41"/>
      <c r="I146" s="41"/>
      <c r="J146" s="41"/>
      <c r="K146" s="83"/>
      <c r="L146" s="36"/>
      <c r="M146" s="36"/>
      <c r="N146" s="36"/>
      <c r="O146" s="287"/>
      <c r="P146" s="237"/>
      <c r="Q146" s="36"/>
      <c r="R146" s="36"/>
      <c r="S146" s="36"/>
      <c r="T146" s="36"/>
      <c r="U146" s="63"/>
      <c r="V146" s="63"/>
    </row>
    <row r="147" spans="1:22" s="42" customFormat="1" ht="13.5">
      <c r="A147" s="37" t="s">
        <v>615</v>
      </c>
      <c r="B147" s="37"/>
      <c r="C147" s="211" t="s">
        <v>614</v>
      </c>
      <c r="D147" s="177" t="s">
        <v>391</v>
      </c>
      <c r="E147" s="41">
        <v>2</v>
      </c>
      <c r="F147" s="41"/>
      <c r="G147" s="41"/>
      <c r="H147" s="41"/>
      <c r="I147" s="41"/>
      <c r="J147" s="41"/>
      <c r="K147" s="83"/>
      <c r="L147" s="36"/>
      <c r="M147" s="36"/>
      <c r="N147" s="36"/>
      <c r="O147" s="296"/>
      <c r="P147" s="228"/>
      <c r="Q147" s="36"/>
      <c r="R147" s="36"/>
      <c r="S147" s="36"/>
      <c r="T147" s="36"/>
      <c r="U147" s="63"/>
      <c r="V147" s="63"/>
    </row>
    <row r="148" spans="1:22" s="42" customFormat="1" ht="13.5">
      <c r="A148" s="37" t="s">
        <v>617</v>
      </c>
      <c r="B148" s="37"/>
      <c r="C148" s="211" t="s">
        <v>616</v>
      </c>
      <c r="D148" s="177" t="s">
        <v>391</v>
      </c>
      <c r="E148" s="41">
        <v>1</v>
      </c>
      <c r="F148" s="41"/>
      <c r="G148" s="41"/>
      <c r="H148" s="41"/>
      <c r="I148" s="41"/>
      <c r="J148" s="41"/>
      <c r="K148" s="83"/>
      <c r="L148" s="36"/>
      <c r="M148" s="36"/>
      <c r="N148" s="36"/>
      <c r="O148" s="296"/>
      <c r="P148" s="228"/>
      <c r="Q148" s="36"/>
      <c r="R148" s="36"/>
      <c r="S148" s="36"/>
      <c r="T148" s="36"/>
      <c r="U148" s="63"/>
      <c r="V148" s="63"/>
    </row>
    <row r="149" spans="1:22" s="42" customFormat="1" ht="13.5">
      <c r="A149" s="37" t="s">
        <v>619</v>
      </c>
      <c r="B149" s="37"/>
      <c r="C149" s="211" t="s">
        <v>620</v>
      </c>
      <c r="D149" s="177" t="s">
        <v>391</v>
      </c>
      <c r="E149" s="41">
        <v>3</v>
      </c>
      <c r="F149" s="41"/>
      <c r="G149" s="41"/>
      <c r="H149" s="41"/>
      <c r="I149" s="41"/>
      <c r="J149" s="41"/>
      <c r="K149" s="83"/>
      <c r="L149" s="36"/>
      <c r="M149" s="36"/>
      <c r="N149" s="36"/>
      <c r="O149" s="296"/>
      <c r="P149" s="228"/>
      <c r="Q149" s="36"/>
      <c r="R149" s="36"/>
      <c r="S149" s="36"/>
      <c r="T149" s="36"/>
      <c r="U149" s="63"/>
      <c r="V149" s="63"/>
    </row>
    <row r="150" spans="1:22" s="42" customFormat="1" ht="13.5">
      <c r="A150" s="37" t="s">
        <v>621</v>
      </c>
      <c r="B150" s="37"/>
      <c r="C150" s="211" t="s">
        <v>622</v>
      </c>
      <c r="D150" s="177" t="s">
        <v>391</v>
      </c>
      <c r="E150" s="41">
        <v>1</v>
      </c>
      <c r="F150" s="41"/>
      <c r="G150" s="41"/>
      <c r="H150" s="41"/>
      <c r="I150" s="41"/>
      <c r="J150" s="41"/>
      <c r="K150" s="83"/>
      <c r="L150" s="36"/>
      <c r="M150" s="36"/>
      <c r="N150" s="36"/>
      <c r="O150" s="296"/>
      <c r="P150" s="228"/>
      <c r="Q150" s="36"/>
      <c r="R150" s="36"/>
      <c r="S150" s="36"/>
      <c r="T150" s="36"/>
      <c r="U150" s="63"/>
      <c r="V150" s="63"/>
    </row>
    <row r="151" spans="1:22" s="42" customFormat="1" ht="13.5">
      <c r="A151" s="37" t="s">
        <v>623</v>
      </c>
      <c r="B151" s="37"/>
      <c r="C151" s="211" t="s">
        <v>855</v>
      </c>
      <c r="D151" s="177" t="s">
        <v>391</v>
      </c>
      <c r="E151" s="41">
        <f>6-1</f>
        <v>5</v>
      </c>
      <c r="F151" s="41"/>
      <c r="G151" s="41"/>
      <c r="H151" s="41"/>
      <c r="I151" s="41"/>
      <c r="J151" s="41"/>
      <c r="K151" s="83"/>
      <c r="L151" s="36"/>
      <c r="M151" s="36"/>
      <c r="N151" s="36"/>
      <c r="O151" s="296"/>
      <c r="P151" s="228"/>
      <c r="Q151" s="36"/>
      <c r="R151" s="36"/>
      <c r="S151" s="36"/>
      <c r="T151" s="36"/>
      <c r="U151" s="63"/>
      <c r="V151" s="63"/>
    </row>
    <row r="152" spans="1:22" s="42" customFormat="1" ht="14.25">
      <c r="A152" s="37" t="s">
        <v>625</v>
      </c>
      <c r="B152" s="37"/>
      <c r="C152" s="211" t="s">
        <v>624</v>
      </c>
      <c r="D152" s="177" t="s">
        <v>391</v>
      </c>
      <c r="E152" s="41">
        <v>1</v>
      </c>
      <c r="F152" s="41"/>
      <c r="G152" s="41"/>
      <c r="H152" s="41"/>
      <c r="I152" s="41"/>
      <c r="J152" s="41"/>
      <c r="K152" s="83"/>
      <c r="L152" s="36"/>
      <c r="M152" s="36"/>
      <c r="N152" s="36"/>
      <c r="O152" s="296"/>
      <c r="P152" s="228"/>
      <c r="Q152" s="36"/>
      <c r="R152" s="213"/>
      <c r="S152" s="213"/>
      <c r="T152" s="213"/>
      <c r="U152" s="298"/>
      <c r="V152" s="298"/>
    </row>
    <row r="153" spans="1:22" s="42" customFormat="1" ht="14.25">
      <c r="A153" s="37" t="s">
        <v>627</v>
      </c>
      <c r="B153" s="37"/>
      <c r="C153" s="211" t="s">
        <v>626</v>
      </c>
      <c r="D153" s="177" t="s">
        <v>391</v>
      </c>
      <c r="E153" s="41">
        <v>1</v>
      </c>
      <c r="F153" s="41"/>
      <c r="G153" s="41"/>
      <c r="H153" s="41"/>
      <c r="I153" s="41"/>
      <c r="J153" s="41"/>
      <c r="K153" s="83"/>
      <c r="L153" s="36"/>
      <c r="M153" s="36"/>
      <c r="N153" s="36"/>
      <c r="O153" s="296"/>
      <c r="P153" s="228"/>
      <c r="Q153" s="36"/>
      <c r="R153" s="213"/>
      <c r="S153" s="213"/>
      <c r="T153" s="213"/>
      <c r="U153" s="298"/>
      <c r="V153" s="298"/>
    </row>
    <row r="154" spans="1:22" s="42" customFormat="1" ht="23.25">
      <c r="A154" s="37" t="s">
        <v>629</v>
      </c>
      <c r="B154" s="37"/>
      <c r="C154" s="230" t="s">
        <v>856</v>
      </c>
      <c r="D154" s="177" t="s">
        <v>391</v>
      </c>
      <c r="E154" s="41">
        <v>1</v>
      </c>
      <c r="F154" s="41"/>
      <c r="G154" s="41"/>
      <c r="H154" s="41"/>
      <c r="I154" s="41"/>
      <c r="J154" s="41"/>
      <c r="K154" s="83"/>
      <c r="L154" s="36"/>
      <c r="M154" s="36"/>
      <c r="N154" s="36"/>
      <c r="O154" s="296"/>
      <c r="P154" s="228"/>
      <c r="Q154" s="36"/>
      <c r="R154" s="213"/>
      <c r="S154" s="213"/>
      <c r="T154" s="213"/>
      <c r="U154" s="298"/>
      <c r="V154" s="298"/>
    </row>
    <row r="155" spans="1:22" s="42" customFormat="1" ht="13.5">
      <c r="A155" s="37" t="s">
        <v>631</v>
      </c>
      <c r="B155" s="37"/>
      <c r="C155" s="211" t="s">
        <v>628</v>
      </c>
      <c r="D155" s="177" t="s">
        <v>391</v>
      </c>
      <c r="E155" s="41">
        <v>7</v>
      </c>
      <c r="F155" s="41"/>
      <c r="G155" s="41"/>
      <c r="H155" s="41"/>
      <c r="I155" s="41"/>
      <c r="J155" s="41"/>
      <c r="K155" s="83"/>
      <c r="L155" s="36"/>
      <c r="M155" s="36"/>
      <c r="N155" s="36"/>
      <c r="O155" s="296"/>
      <c r="P155" s="228"/>
      <c r="Q155" s="36"/>
      <c r="R155" s="36"/>
      <c r="S155" s="36"/>
      <c r="T155" s="36"/>
      <c r="U155" s="63"/>
      <c r="V155" s="63"/>
    </row>
    <row r="156" spans="1:22" s="42" customFormat="1" ht="13.5">
      <c r="A156" s="37" t="s">
        <v>633</v>
      </c>
      <c r="B156" s="37"/>
      <c r="C156" s="211" t="s">
        <v>630</v>
      </c>
      <c r="D156" s="177" t="s">
        <v>391</v>
      </c>
      <c r="E156" s="41">
        <v>9</v>
      </c>
      <c r="F156" s="41"/>
      <c r="G156" s="41"/>
      <c r="H156" s="41"/>
      <c r="I156" s="41"/>
      <c r="J156" s="41"/>
      <c r="K156" s="83"/>
      <c r="L156" s="36"/>
      <c r="M156" s="36"/>
      <c r="N156" s="36"/>
      <c r="O156" s="296"/>
      <c r="P156" s="228"/>
      <c r="Q156" s="36"/>
      <c r="R156" s="36"/>
      <c r="S156" s="36"/>
      <c r="T156" s="36"/>
      <c r="U156" s="63"/>
      <c r="V156" s="63"/>
    </row>
    <row r="157" spans="1:22" s="42" customFormat="1" ht="13.5">
      <c r="A157" s="37" t="s">
        <v>636</v>
      </c>
      <c r="B157" s="37"/>
      <c r="C157" s="211" t="s">
        <v>782</v>
      </c>
      <c r="D157" s="177" t="s">
        <v>391</v>
      </c>
      <c r="E157" s="41">
        <f>12-1</f>
        <v>11</v>
      </c>
      <c r="F157" s="41"/>
      <c r="G157" s="41"/>
      <c r="H157" s="41"/>
      <c r="I157" s="41"/>
      <c r="J157" s="41"/>
      <c r="K157" s="83"/>
      <c r="L157" s="36"/>
      <c r="M157" s="36"/>
      <c r="N157" s="36"/>
      <c r="O157" s="288"/>
      <c r="P157" s="242"/>
      <c r="Q157" s="36"/>
      <c r="R157" s="36"/>
      <c r="S157" s="36"/>
      <c r="T157" s="36"/>
      <c r="U157" s="63"/>
      <c r="V157" s="63"/>
    </row>
    <row r="158" spans="1:22" s="42" customFormat="1" ht="13.5">
      <c r="A158" s="37" t="s">
        <v>638</v>
      </c>
      <c r="B158" s="37"/>
      <c r="C158" s="211" t="s">
        <v>632</v>
      </c>
      <c r="D158" s="177" t="s">
        <v>391</v>
      </c>
      <c r="E158" s="41">
        <v>2</v>
      </c>
      <c r="F158" s="41"/>
      <c r="G158" s="41"/>
      <c r="H158" s="41"/>
      <c r="I158" s="41"/>
      <c r="J158" s="41"/>
      <c r="K158" s="83"/>
      <c r="L158" s="36"/>
      <c r="M158" s="36"/>
      <c r="N158" s="36"/>
      <c r="O158" s="296"/>
      <c r="P158" s="228"/>
      <c r="Q158" s="36"/>
      <c r="R158" s="36"/>
      <c r="S158" s="36"/>
      <c r="T158" s="36"/>
      <c r="U158" s="63"/>
      <c r="V158" s="63"/>
    </row>
    <row r="159" spans="1:22" s="42" customFormat="1" ht="13.5">
      <c r="A159" s="37" t="s">
        <v>640</v>
      </c>
      <c r="B159" s="37"/>
      <c r="C159" s="211" t="s">
        <v>637</v>
      </c>
      <c r="D159" s="177" t="s">
        <v>391</v>
      </c>
      <c r="E159" s="41">
        <v>3</v>
      </c>
      <c r="F159" s="41"/>
      <c r="G159" s="41"/>
      <c r="H159" s="41"/>
      <c r="I159" s="41"/>
      <c r="J159" s="41"/>
      <c r="K159" s="83"/>
      <c r="L159" s="36"/>
      <c r="M159" s="36"/>
      <c r="N159" s="36"/>
      <c r="O159" s="296"/>
      <c r="P159" s="228"/>
      <c r="Q159" s="36"/>
      <c r="R159" s="36"/>
      <c r="S159" s="36"/>
      <c r="T159" s="36"/>
      <c r="U159" s="63"/>
      <c r="V159" s="63"/>
    </row>
    <row r="160" spans="1:22" s="42" customFormat="1" ht="13.5">
      <c r="A160" s="37" t="s">
        <v>642</v>
      </c>
      <c r="B160" s="37"/>
      <c r="C160" s="211" t="s">
        <v>639</v>
      </c>
      <c r="D160" s="177" t="s">
        <v>391</v>
      </c>
      <c r="E160" s="41">
        <v>2</v>
      </c>
      <c r="F160" s="41"/>
      <c r="G160" s="41"/>
      <c r="H160" s="41"/>
      <c r="I160" s="41"/>
      <c r="J160" s="41"/>
      <c r="K160" s="83"/>
      <c r="L160" s="36"/>
      <c r="M160" s="36"/>
      <c r="N160" s="36"/>
      <c r="O160" s="296"/>
      <c r="P160" s="228"/>
      <c r="Q160" s="36"/>
      <c r="R160" s="36"/>
      <c r="S160" s="36"/>
      <c r="T160" s="36"/>
      <c r="U160" s="63"/>
      <c r="V160" s="63"/>
    </row>
    <row r="161" spans="1:22" s="42" customFormat="1" ht="13.5">
      <c r="A161" s="37" t="s">
        <v>644</v>
      </c>
      <c r="B161" s="37"/>
      <c r="C161" s="211" t="s">
        <v>641</v>
      </c>
      <c r="D161" s="177" t="s">
        <v>391</v>
      </c>
      <c r="E161" s="41">
        <v>10</v>
      </c>
      <c r="F161" s="41"/>
      <c r="G161" s="41"/>
      <c r="H161" s="41"/>
      <c r="I161" s="41"/>
      <c r="J161" s="41"/>
      <c r="K161" s="83"/>
      <c r="L161" s="36"/>
      <c r="M161" s="36"/>
      <c r="N161" s="36"/>
      <c r="O161" s="296"/>
      <c r="P161" s="228"/>
      <c r="Q161" s="36"/>
      <c r="R161" s="72"/>
      <c r="S161" s="72"/>
      <c r="T161" s="72"/>
      <c r="U161" s="72"/>
      <c r="V161" s="72"/>
    </row>
    <row r="162" spans="1:22" s="42" customFormat="1" ht="13.5">
      <c r="A162" s="37" t="s">
        <v>775</v>
      </c>
      <c r="B162" s="37"/>
      <c r="C162" s="211" t="s">
        <v>643</v>
      </c>
      <c r="D162" s="177" t="s">
        <v>391</v>
      </c>
      <c r="E162" s="41">
        <v>10</v>
      </c>
      <c r="F162" s="41"/>
      <c r="G162" s="41"/>
      <c r="H162" s="41"/>
      <c r="I162" s="41"/>
      <c r="J162" s="41"/>
      <c r="K162" s="83"/>
      <c r="L162" s="36"/>
      <c r="M162" s="36"/>
      <c r="N162" s="36"/>
      <c r="O162" s="288"/>
      <c r="P162" s="242"/>
      <c r="Q162" s="36"/>
      <c r="R162" s="72"/>
      <c r="S162" s="72"/>
      <c r="T162" s="72"/>
      <c r="U162" s="72"/>
      <c r="V162" s="72"/>
    </row>
    <row r="163" spans="1:22" s="42" customFormat="1" ht="13.5">
      <c r="A163" s="37" t="s">
        <v>776</v>
      </c>
      <c r="B163" s="37"/>
      <c r="C163" s="211" t="s">
        <v>793</v>
      </c>
      <c r="D163" s="177" t="s">
        <v>391</v>
      </c>
      <c r="E163" s="41">
        <v>2</v>
      </c>
      <c r="F163" s="41"/>
      <c r="G163" s="41"/>
      <c r="H163" s="41"/>
      <c r="I163" s="41"/>
      <c r="J163" s="41"/>
      <c r="K163" s="83"/>
      <c r="L163" s="36"/>
      <c r="M163" s="36"/>
      <c r="N163" s="36"/>
      <c r="O163" s="36"/>
      <c r="P163" s="36"/>
      <c r="Q163" s="36"/>
      <c r="R163" s="72"/>
      <c r="S163" s="72"/>
      <c r="T163" s="72"/>
      <c r="U163" s="72"/>
      <c r="V163" s="72"/>
    </row>
    <row r="164" spans="1:22" s="42" customFormat="1" ht="13.5">
      <c r="A164" s="37" t="s">
        <v>778</v>
      </c>
      <c r="B164" s="239" t="s">
        <v>645</v>
      </c>
      <c r="C164" s="240" t="s">
        <v>646</v>
      </c>
      <c r="D164" s="196" t="s">
        <v>189</v>
      </c>
      <c r="E164" s="83">
        <v>25.05</v>
      </c>
      <c r="F164" s="41"/>
      <c r="G164" s="41"/>
      <c r="H164" s="41"/>
      <c r="I164" s="41"/>
      <c r="J164" s="41"/>
      <c r="K164" s="83"/>
      <c r="L164" s="36"/>
      <c r="M164" s="36"/>
      <c r="N164" s="36"/>
      <c r="O164" s="36"/>
      <c r="P164" s="36"/>
      <c r="Q164" s="36"/>
      <c r="R164" s="36"/>
      <c r="S164" s="36"/>
      <c r="T164" s="36"/>
      <c r="U164" s="63"/>
      <c r="V164" s="63"/>
    </row>
    <row r="165" spans="1:20" ht="14.25">
      <c r="A165" s="67" t="s">
        <v>272</v>
      </c>
      <c r="B165" s="67"/>
      <c r="C165" s="67"/>
      <c r="D165" s="67"/>
      <c r="E165" s="67"/>
      <c r="F165" s="67"/>
      <c r="G165" s="67"/>
      <c r="H165" s="67"/>
      <c r="I165" s="67"/>
      <c r="J165" s="267"/>
      <c r="K165" s="260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2" s="73" customFormat="1" ht="13.5">
      <c r="A166" s="69" t="s">
        <v>273</v>
      </c>
      <c r="B166" s="70" t="s">
        <v>274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1"/>
      <c r="M166" s="72"/>
      <c r="N166" s="72"/>
      <c r="O166" s="72"/>
      <c r="P166" s="72"/>
      <c r="Q166" s="72"/>
      <c r="R166" s="72"/>
      <c r="S166" s="72"/>
      <c r="T166" s="72"/>
      <c r="U166" s="72"/>
      <c r="V166" s="72"/>
    </row>
    <row r="167" spans="1:22" s="194" customFormat="1" ht="14.25">
      <c r="A167" s="74" t="s">
        <v>275</v>
      </c>
      <c r="B167" s="120">
        <v>72075</v>
      </c>
      <c r="C167" s="76" t="s">
        <v>647</v>
      </c>
      <c r="D167" s="75" t="s">
        <v>23</v>
      </c>
      <c r="E167" s="41">
        <f>E179+E182+E184</f>
        <v>223.88300000000004</v>
      </c>
      <c r="F167" s="76"/>
      <c r="G167" s="41"/>
      <c r="H167" s="76"/>
      <c r="I167" s="41"/>
      <c r="J167" s="41"/>
      <c r="K167" s="41"/>
      <c r="L167" s="71"/>
      <c r="M167" s="72"/>
      <c r="N167" s="72"/>
      <c r="O167" s="72"/>
      <c r="P167" s="72"/>
      <c r="Q167" s="72"/>
      <c r="R167" s="72"/>
      <c r="S167" s="72"/>
      <c r="T167" s="72"/>
      <c r="U167" s="72"/>
      <c r="V167" s="72"/>
    </row>
    <row r="168" spans="1:22" s="73" customFormat="1" ht="14.25">
      <c r="A168" s="79" t="s">
        <v>285</v>
      </c>
      <c r="B168" s="79"/>
      <c r="C168" s="79"/>
      <c r="D168" s="79"/>
      <c r="E168" s="79"/>
      <c r="F168" s="79"/>
      <c r="G168" s="79"/>
      <c r="H168" s="79"/>
      <c r="I168" s="79"/>
      <c r="J168" s="267"/>
      <c r="K168" s="267"/>
      <c r="L168" s="80"/>
      <c r="M168" s="72"/>
      <c r="N168" s="72"/>
      <c r="O168" s="72"/>
      <c r="P168" s="72"/>
      <c r="Q168" s="72"/>
      <c r="R168" s="72"/>
      <c r="S168" s="72"/>
      <c r="T168" s="72"/>
      <c r="U168" s="72"/>
      <c r="V168" s="72"/>
    </row>
    <row r="169" spans="1:20" ht="13.5">
      <c r="A169" s="34" t="s">
        <v>286</v>
      </c>
      <c r="B169" s="35" t="s">
        <v>287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s="42" customFormat="1" ht="13.5">
      <c r="A170" s="118" t="s">
        <v>288</v>
      </c>
      <c r="B170" s="118"/>
      <c r="C170" s="244" t="s">
        <v>648</v>
      </c>
      <c r="D170" s="75" t="s">
        <v>391</v>
      </c>
      <c r="E170" s="119">
        <v>2</v>
      </c>
      <c r="F170" s="119"/>
      <c r="G170" s="211"/>
      <c r="H170" s="211"/>
      <c r="I170" s="211"/>
      <c r="J170" s="211"/>
      <c r="K170" s="41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s="42" customFormat="1" ht="13.5">
      <c r="A171" s="118" t="s">
        <v>289</v>
      </c>
      <c r="B171" s="118"/>
      <c r="C171" s="244" t="s">
        <v>649</v>
      </c>
      <c r="D171" s="75" t="s">
        <v>391</v>
      </c>
      <c r="E171" s="119">
        <v>2</v>
      </c>
      <c r="F171" s="119"/>
      <c r="G171" s="211"/>
      <c r="H171" s="211"/>
      <c r="I171" s="211"/>
      <c r="J171" s="211"/>
      <c r="K171" s="41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s="42" customFormat="1" ht="15.75" customHeight="1">
      <c r="A172" s="118" t="s">
        <v>290</v>
      </c>
      <c r="B172" s="118"/>
      <c r="C172" s="300" t="s">
        <v>655</v>
      </c>
      <c r="D172" s="75" t="s">
        <v>391</v>
      </c>
      <c r="E172" s="41">
        <v>5</v>
      </c>
      <c r="F172" s="41"/>
      <c r="G172" s="211"/>
      <c r="H172" s="41"/>
      <c r="I172" s="211"/>
      <c r="J172" s="211"/>
      <c r="K172" s="41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11" ht="14.25">
      <c r="A173" s="67" t="s">
        <v>298</v>
      </c>
      <c r="B173" s="67"/>
      <c r="C173" s="67"/>
      <c r="D173" s="67"/>
      <c r="E173" s="67"/>
      <c r="F173" s="67"/>
      <c r="G173" s="67"/>
      <c r="H173" s="67"/>
      <c r="I173" s="67"/>
      <c r="J173" s="267"/>
      <c r="K173" s="260"/>
    </row>
    <row r="174" spans="1:20" ht="13.5">
      <c r="A174" s="34" t="s">
        <v>299</v>
      </c>
      <c r="B174" s="35" t="s">
        <v>300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s="42" customFormat="1" ht="13.5">
      <c r="A175" s="37" t="s">
        <v>301</v>
      </c>
      <c r="B175" s="120">
        <v>5974</v>
      </c>
      <c r="C175" s="44" t="s">
        <v>656</v>
      </c>
      <c r="D175" s="40" t="s">
        <v>23</v>
      </c>
      <c r="E175" s="41">
        <f>(E52+E53)*2</f>
        <v>942.7205000000001</v>
      </c>
      <c r="F175" s="41"/>
      <c r="G175" s="41"/>
      <c r="H175" s="41"/>
      <c r="I175" s="41"/>
      <c r="J175" s="41"/>
      <c r="K175" s="41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s="42" customFormat="1" ht="13.5">
      <c r="A176" s="37" t="s">
        <v>303</v>
      </c>
      <c r="B176" s="120">
        <v>5975</v>
      </c>
      <c r="C176" s="44" t="s">
        <v>657</v>
      </c>
      <c r="D176" s="40" t="s">
        <v>23</v>
      </c>
      <c r="E176" s="41">
        <f>E13</f>
        <v>168.36</v>
      </c>
      <c r="F176" s="41"/>
      <c r="G176" s="41"/>
      <c r="H176" s="41"/>
      <c r="I176" s="41"/>
      <c r="J176" s="41"/>
      <c r="K176" s="41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s="42" customFormat="1" ht="23.25">
      <c r="A177" s="37" t="s">
        <v>304</v>
      </c>
      <c r="B177" s="120">
        <v>5982</v>
      </c>
      <c r="C177" s="44" t="s">
        <v>658</v>
      </c>
      <c r="D177" s="40" t="s">
        <v>23</v>
      </c>
      <c r="E177" s="41">
        <f>E176</f>
        <v>168.36</v>
      </c>
      <c r="F177" s="41"/>
      <c r="G177" s="41"/>
      <c r="H177" s="41"/>
      <c r="I177" s="41"/>
      <c r="J177" s="41"/>
      <c r="K177" s="41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s="42" customFormat="1" ht="23.25">
      <c r="A178" s="37" t="s">
        <v>305</v>
      </c>
      <c r="B178" s="120">
        <v>5992</v>
      </c>
      <c r="C178" s="44" t="s">
        <v>659</v>
      </c>
      <c r="D178" s="40" t="s">
        <v>23</v>
      </c>
      <c r="E178" s="41">
        <f>E175</f>
        <v>942.7205000000001</v>
      </c>
      <c r="F178" s="41"/>
      <c r="G178" s="41"/>
      <c r="H178" s="41"/>
      <c r="I178" s="41"/>
      <c r="J178" s="41"/>
      <c r="K178" s="41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s="42" customFormat="1" ht="13.5">
      <c r="A179" s="37" t="s">
        <v>308</v>
      </c>
      <c r="B179" s="120" t="s">
        <v>660</v>
      </c>
      <c r="C179" s="44" t="s">
        <v>661</v>
      </c>
      <c r="D179" s="40" t="s">
        <v>23</v>
      </c>
      <c r="E179" s="41">
        <f>(2.85*(6.4+11.6+11.6+10.6))*1.1</f>
        <v>126.02700000000002</v>
      </c>
      <c r="F179" s="41"/>
      <c r="G179" s="41"/>
      <c r="H179" s="41"/>
      <c r="I179" s="41"/>
      <c r="J179" s="41"/>
      <c r="K179" s="41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s="42" customFormat="1" ht="15" customHeight="1">
      <c r="A180" s="37" t="s">
        <v>309</v>
      </c>
      <c r="B180" s="120">
        <v>9536</v>
      </c>
      <c r="C180" s="44" t="s">
        <v>663</v>
      </c>
      <c r="D180" s="40" t="s">
        <v>23</v>
      </c>
      <c r="E180" s="295">
        <f>2*12.54</f>
        <v>25.08</v>
      </c>
      <c r="F180" s="41"/>
      <c r="G180" s="41"/>
      <c r="H180" s="41"/>
      <c r="I180" s="41"/>
      <c r="J180" s="41"/>
      <c r="K180" s="41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s="42" customFormat="1" ht="15" customHeight="1">
      <c r="A181" s="37" t="s">
        <v>310</v>
      </c>
      <c r="B181" s="120" t="s">
        <v>664</v>
      </c>
      <c r="C181" s="44" t="s">
        <v>665</v>
      </c>
      <c r="D181" s="40" t="s">
        <v>23</v>
      </c>
      <c r="E181" s="98">
        <v>146.48</v>
      </c>
      <c r="F181" s="41"/>
      <c r="G181" s="41"/>
      <c r="H181" s="41"/>
      <c r="I181" s="41"/>
      <c r="J181" s="41"/>
      <c r="K181" s="41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s="42" customFormat="1" ht="24.75" customHeight="1">
      <c r="A182" s="37" t="s">
        <v>311</v>
      </c>
      <c r="B182" s="120" t="s">
        <v>666</v>
      </c>
      <c r="C182" s="47" t="s">
        <v>667</v>
      </c>
      <c r="D182" s="40" t="s">
        <v>23</v>
      </c>
      <c r="E182" s="41">
        <f>(2.55+8.29+8.29+3.52+7+3.08)*1.1</f>
        <v>36.003</v>
      </c>
      <c r="F182" s="41"/>
      <c r="G182" s="41"/>
      <c r="H182" s="41"/>
      <c r="I182" s="41"/>
      <c r="J182" s="41"/>
      <c r="K182" s="41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s="42" customFormat="1" ht="23.25">
      <c r="A183" s="37" t="s">
        <v>312</v>
      </c>
      <c r="B183" s="120" t="s">
        <v>669</v>
      </c>
      <c r="C183" s="47" t="s">
        <v>670</v>
      </c>
      <c r="D183" s="40" t="s">
        <v>23</v>
      </c>
      <c r="E183" s="41">
        <f>(17.9+24.1+12.03+6.38+11.55)*1.1</f>
        <v>79.15600000000002</v>
      </c>
      <c r="F183" s="41"/>
      <c r="G183" s="41"/>
      <c r="H183" s="41"/>
      <c r="I183" s="41"/>
      <c r="J183" s="41"/>
      <c r="K183" s="41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s="42" customFormat="1" ht="15" customHeight="1">
      <c r="A184" s="37" t="s">
        <v>668</v>
      </c>
      <c r="B184" s="120">
        <v>72185</v>
      </c>
      <c r="C184" s="47" t="s">
        <v>857</v>
      </c>
      <c r="D184" s="40" t="s">
        <v>23</v>
      </c>
      <c r="E184" s="41">
        <f>((13.37+4.44+4.44+8.14+9.1)+(0.3*(12.1+14.8+11.8+8.55+8.55)))*1.1</f>
        <v>61.85300000000001</v>
      </c>
      <c r="F184" s="41"/>
      <c r="G184" s="41"/>
      <c r="H184" s="41"/>
      <c r="I184" s="41"/>
      <c r="J184" s="41"/>
      <c r="K184" s="41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s="42" customFormat="1" ht="13.5">
      <c r="A185" s="37" t="s">
        <v>671</v>
      </c>
      <c r="B185" s="120" t="s">
        <v>674</v>
      </c>
      <c r="C185" s="249" t="s">
        <v>675</v>
      </c>
      <c r="D185" s="40" t="s">
        <v>189</v>
      </c>
      <c r="E185" s="41">
        <f>((0.5*5)+(2.5*1)+(2.8*2)+(1.2*5)+(1.2+1.2+1.2+1.2+0.6))*1.1</f>
        <v>24.200000000000003</v>
      </c>
      <c r="F185" s="41"/>
      <c r="G185" s="41"/>
      <c r="H185" s="41"/>
      <c r="I185" s="41"/>
      <c r="J185" s="41"/>
      <c r="K185" s="41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s="42" customFormat="1" ht="13.5">
      <c r="A186" s="37" t="s">
        <v>673</v>
      </c>
      <c r="B186" s="120" t="s">
        <v>677</v>
      </c>
      <c r="C186" s="46" t="s">
        <v>678</v>
      </c>
      <c r="D186" s="40" t="s">
        <v>189</v>
      </c>
      <c r="E186" s="41">
        <f>((0.8*6)+(1.8*1)+(0.7*2)+(1*2)+(0.8*1)+(1.4*4)+0.8+0.8)*1.1</f>
        <v>19.8</v>
      </c>
      <c r="F186" s="41"/>
      <c r="G186" s="41"/>
      <c r="H186" s="41"/>
      <c r="I186" s="41"/>
      <c r="J186" s="41"/>
      <c r="K186" s="41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s="42" customFormat="1" ht="13.5">
      <c r="A187" s="37" t="s">
        <v>676</v>
      </c>
      <c r="B187" s="120" t="s">
        <v>680</v>
      </c>
      <c r="C187" s="291" t="s">
        <v>681</v>
      </c>
      <c r="D187" s="40" t="s">
        <v>189</v>
      </c>
      <c r="E187" s="295">
        <f>0.6+1.2+2.55+2.2+2.55+2.55+2.5+1.7+2.2+2.8+1.7-5.1</f>
        <v>17.449999999999996</v>
      </c>
      <c r="F187" s="41"/>
      <c r="G187" s="41"/>
      <c r="H187" s="41"/>
      <c r="I187" s="41"/>
      <c r="J187" s="41"/>
      <c r="K187" s="41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s="42" customFormat="1" ht="24.75" customHeight="1">
      <c r="A188" s="37" t="s">
        <v>679</v>
      </c>
      <c r="B188" s="120" t="s">
        <v>683</v>
      </c>
      <c r="C188" s="44" t="s">
        <v>684</v>
      </c>
      <c r="D188" s="40" t="s">
        <v>189</v>
      </c>
      <c r="E188" s="41">
        <f>(13.9+16.35+36.7+7.6+7.2+10.1+13.6+3.4+2.25+2.25+1.6)*1.1</f>
        <v>126.445</v>
      </c>
      <c r="F188" s="41"/>
      <c r="G188" s="41"/>
      <c r="H188" s="41"/>
      <c r="I188" s="41"/>
      <c r="J188" s="41"/>
      <c r="K188" s="41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3.5">
      <c r="A189" s="67" t="s">
        <v>313</v>
      </c>
      <c r="B189" s="67"/>
      <c r="C189" s="67"/>
      <c r="D189" s="67"/>
      <c r="E189" s="67"/>
      <c r="F189" s="67"/>
      <c r="G189" s="67"/>
      <c r="H189" s="67"/>
      <c r="I189" s="67"/>
      <c r="J189" s="53"/>
      <c r="K189" s="53"/>
      <c r="L189" s="68"/>
      <c r="M189" s="36"/>
      <c r="N189" s="36"/>
      <c r="O189" s="36"/>
      <c r="P189" s="36"/>
      <c r="Q189" s="36"/>
      <c r="R189" s="36"/>
      <c r="S189" s="36"/>
      <c r="T189" s="36"/>
    </row>
    <row r="190" spans="1:21" s="73" customFormat="1" ht="13.5">
      <c r="A190" s="69" t="s">
        <v>314</v>
      </c>
      <c r="B190" s="85" t="s">
        <v>315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71"/>
      <c r="M190" s="72"/>
      <c r="N190" s="72"/>
      <c r="O190" s="72"/>
      <c r="P190" s="72"/>
      <c r="Q190" s="72"/>
      <c r="R190" s="72"/>
      <c r="S190" s="72"/>
      <c r="T190" s="72"/>
      <c r="U190" s="72"/>
    </row>
    <row r="191" spans="1:21" s="78" customFormat="1" ht="13.5">
      <c r="A191" s="74" t="s">
        <v>316</v>
      </c>
      <c r="B191" s="253">
        <v>72120</v>
      </c>
      <c r="C191" s="76" t="s">
        <v>686</v>
      </c>
      <c r="D191" s="75" t="s">
        <v>23</v>
      </c>
      <c r="E191" s="41">
        <f>E59+(0.6*0.9)</f>
        <v>3.06</v>
      </c>
      <c r="F191" s="41"/>
      <c r="G191" s="41"/>
      <c r="H191" s="41"/>
      <c r="I191" s="41"/>
      <c r="J191" s="41"/>
      <c r="K191" s="41"/>
      <c r="L191" s="71"/>
      <c r="M191" s="72"/>
      <c r="N191" s="72"/>
      <c r="O191" s="72"/>
      <c r="P191" s="72"/>
      <c r="Q191" s="72"/>
      <c r="R191" s="72"/>
      <c r="S191" s="72"/>
      <c r="T191" s="72"/>
      <c r="U191" s="72"/>
    </row>
    <row r="192" spans="1:21" s="78" customFormat="1" ht="13.5">
      <c r="A192" s="74" t="s">
        <v>317</v>
      </c>
      <c r="B192" s="253">
        <v>72116</v>
      </c>
      <c r="C192" s="76" t="s">
        <v>687</v>
      </c>
      <c r="D192" s="75" t="s">
        <v>23</v>
      </c>
      <c r="E192" s="41">
        <f>2*0.2*0.9</f>
        <v>0.36000000000000004</v>
      </c>
      <c r="F192" s="41"/>
      <c r="G192" s="41"/>
      <c r="H192" s="41"/>
      <c r="I192" s="41"/>
      <c r="J192" s="41"/>
      <c r="K192" s="41"/>
      <c r="L192" s="71"/>
      <c r="M192" s="72"/>
      <c r="N192" s="72"/>
      <c r="O192" s="72"/>
      <c r="P192" s="72"/>
      <c r="Q192" s="72"/>
      <c r="R192" s="72"/>
      <c r="S192" s="72"/>
      <c r="T192" s="72"/>
      <c r="U192" s="72"/>
    </row>
    <row r="193" spans="1:21" s="78" customFormat="1" ht="13.5">
      <c r="A193" s="74" t="s">
        <v>318</v>
      </c>
      <c r="B193" s="253">
        <v>72116</v>
      </c>
      <c r="C193" s="76" t="s">
        <v>858</v>
      </c>
      <c r="D193" s="75" t="s">
        <v>23</v>
      </c>
      <c r="E193" s="41">
        <f>1*0.6*0.6</f>
        <v>0.3600000000000001</v>
      </c>
      <c r="F193" s="41"/>
      <c r="G193" s="41"/>
      <c r="H193" s="41"/>
      <c r="I193" s="41"/>
      <c r="J193" s="41"/>
      <c r="K193" s="41"/>
      <c r="L193" s="71"/>
      <c r="M193" s="72"/>
      <c r="N193" s="72"/>
      <c r="O193" s="72"/>
      <c r="P193" s="72"/>
      <c r="Q193" s="72"/>
      <c r="R193" s="72"/>
      <c r="S193" s="72"/>
      <c r="T193" s="72"/>
      <c r="U193" s="72"/>
    </row>
    <row r="194" spans="1:21" s="78" customFormat="1" ht="13.5">
      <c r="A194" s="74" t="s">
        <v>319</v>
      </c>
      <c r="B194" s="253">
        <v>72116</v>
      </c>
      <c r="C194" s="76" t="s">
        <v>859</v>
      </c>
      <c r="D194" s="75" t="s">
        <v>23</v>
      </c>
      <c r="E194" s="41">
        <f>4*0.2*0.9*2</f>
        <v>1.4400000000000002</v>
      </c>
      <c r="F194" s="41"/>
      <c r="G194" s="41"/>
      <c r="H194" s="41"/>
      <c r="I194" s="41"/>
      <c r="J194" s="41"/>
      <c r="K194" s="41"/>
      <c r="L194" s="71"/>
      <c r="M194" s="72"/>
      <c r="N194" s="72"/>
      <c r="O194" s="72"/>
      <c r="P194" s="72"/>
      <c r="Q194" s="72"/>
      <c r="R194" s="72"/>
      <c r="S194" s="72"/>
      <c r="T194" s="72"/>
      <c r="U194" s="72"/>
    </row>
    <row r="195" spans="1:21" s="78" customFormat="1" ht="13.5">
      <c r="A195" s="74" t="s">
        <v>320</v>
      </c>
      <c r="B195" s="253">
        <v>72116</v>
      </c>
      <c r="C195" s="76" t="s">
        <v>860</v>
      </c>
      <c r="D195" s="75" t="s">
        <v>23</v>
      </c>
      <c r="E195" s="41">
        <f>0.2*0.9*2</f>
        <v>0.36000000000000004</v>
      </c>
      <c r="F195" s="41"/>
      <c r="G195" s="41"/>
      <c r="H195" s="41"/>
      <c r="I195" s="41"/>
      <c r="J195" s="41"/>
      <c r="K195" s="41"/>
      <c r="L195" s="71"/>
      <c r="M195" s="72"/>
      <c r="N195" s="72"/>
      <c r="O195" s="72"/>
      <c r="P195" s="72"/>
      <c r="Q195" s="72"/>
      <c r="R195" s="72"/>
      <c r="S195" s="72"/>
      <c r="T195" s="72"/>
      <c r="U195" s="72"/>
    </row>
    <row r="196" spans="1:21" s="78" customFormat="1" ht="13.5">
      <c r="A196" s="74" t="s">
        <v>321</v>
      </c>
      <c r="B196" s="253">
        <v>72122</v>
      </c>
      <c r="C196" s="76" t="s">
        <v>804</v>
      </c>
      <c r="D196" s="75" t="s">
        <v>23</v>
      </c>
      <c r="E196" s="41">
        <f>0.5*0.6*5</f>
        <v>1.5000000000000002</v>
      </c>
      <c r="F196" s="41"/>
      <c r="G196" s="41"/>
      <c r="H196" s="41"/>
      <c r="I196" s="41"/>
      <c r="J196" s="41"/>
      <c r="K196" s="41"/>
      <c r="L196" s="71"/>
      <c r="M196" s="72"/>
      <c r="N196" s="72"/>
      <c r="O196" s="72"/>
      <c r="P196" s="72"/>
      <c r="Q196" s="72"/>
      <c r="R196" s="72"/>
      <c r="S196" s="72"/>
      <c r="T196" s="72"/>
      <c r="U196" s="72"/>
    </row>
    <row r="197" spans="1:21" s="78" customFormat="1" ht="13.5">
      <c r="A197" s="74" t="s">
        <v>322</v>
      </c>
      <c r="B197" s="253">
        <v>72116</v>
      </c>
      <c r="C197" s="76" t="s">
        <v>861</v>
      </c>
      <c r="D197" s="75" t="s">
        <v>23</v>
      </c>
      <c r="E197" s="41">
        <f>2.5*0.9*1</f>
        <v>2.25</v>
      </c>
      <c r="F197" s="41"/>
      <c r="G197" s="41"/>
      <c r="H197" s="41"/>
      <c r="I197" s="41"/>
      <c r="J197" s="41"/>
      <c r="K197" s="41"/>
      <c r="L197" s="71"/>
      <c r="M197" s="72"/>
      <c r="N197" s="72"/>
      <c r="O197" s="72"/>
      <c r="P197" s="72"/>
      <c r="Q197" s="72"/>
      <c r="R197" s="72"/>
      <c r="S197" s="72"/>
      <c r="T197" s="72"/>
      <c r="U197" s="72"/>
    </row>
    <row r="198" spans="1:21" s="78" customFormat="1" ht="13.5">
      <c r="A198" s="74" t="s">
        <v>323</v>
      </c>
      <c r="B198" s="253">
        <v>72116</v>
      </c>
      <c r="C198" s="76" t="s">
        <v>690</v>
      </c>
      <c r="D198" s="75" t="s">
        <v>23</v>
      </c>
      <c r="E198" s="41">
        <f>2.8*1.2*2</f>
        <v>6.72</v>
      </c>
      <c r="F198" s="41"/>
      <c r="G198" s="41"/>
      <c r="H198" s="41"/>
      <c r="I198" s="41"/>
      <c r="J198" s="41"/>
      <c r="K198" s="41"/>
      <c r="L198" s="71"/>
      <c r="M198" s="72"/>
      <c r="N198" s="72"/>
      <c r="O198" s="72"/>
      <c r="P198" s="72"/>
      <c r="Q198" s="72"/>
      <c r="R198" s="72"/>
      <c r="S198" s="72"/>
      <c r="T198" s="72"/>
      <c r="U198" s="72"/>
    </row>
    <row r="199" spans="1:21" s="78" customFormat="1" ht="13.5">
      <c r="A199" s="74" t="s">
        <v>324</v>
      </c>
      <c r="B199" s="253">
        <v>72116</v>
      </c>
      <c r="C199" s="76" t="s">
        <v>862</v>
      </c>
      <c r="D199" s="75" t="s">
        <v>23</v>
      </c>
      <c r="E199" s="41">
        <f>(1.2*0.9*5)-2.16</f>
        <v>3.24</v>
      </c>
      <c r="F199" s="41"/>
      <c r="G199" s="41"/>
      <c r="H199" s="41"/>
      <c r="I199" s="41"/>
      <c r="J199" s="41"/>
      <c r="K199" s="41"/>
      <c r="L199" s="71"/>
      <c r="M199" s="72"/>
      <c r="N199" s="72"/>
      <c r="O199" s="72"/>
      <c r="P199" s="72"/>
      <c r="Q199" s="72"/>
      <c r="R199" s="72"/>
      <c r="S199" s="72"/>
      <c r="T199" s="72"/>
      <c r="U199" s="72"/>
    </row>
    <row r="200" spans="1:21" s="78" customFormat="1" ht="13.5">
      <c r="A200" s="74" t="s">
        <v>325</v>
      </c>
      <c r="B200" s="253">
        <v>72116</v>
      </c>
      <c r="C200" s="76" t="s">
        <v>863</v>
      </c>
      <c r="D200" s="75" t="s">
        <v>23</v>
      </c>
      <c r="E200" s="41">
        <f>1.2*0.9*5</f>
        <v>5.4</v>
      </c>
      <c r="F200" s="41"/>
      <c r="G200" s="41"/>
      <c r="H200" s="41"/>
      <c r="I200" s="41"/>
      <c r="J200" s="41"/>
      <c r="K200" s="41"/>
      <c r="L200" s="71"/>
      <c r="M200" s="72"/>
      <c r="N200" s="72"/>
      <c r="O200" s="72"/>
      <c r="P200" s="72"/>
      <c r="Q200" s="72"/>
      <c r="R200" s="72"/>
      <c r="S200" s="72"/>
      <c r="T200" s="72"/>
      <c r="U200" s="72"/>
    </row>
    <row r="201" spans="1:21" s="78" customFormat="1" ht="13.5">
      <c r="A201" s="74" t="s">
        <v>864</v>
      </c>
      <c r="B201" s="253">
        <v>72116</v>
      </c>
      <c r="C201" s="76" t="s">
        <v>865</v>
      </c>
      <c r="D201" s="75" t="s">
        <v>23</v>
      </c>
      <c r="E201" s="41">
        <f>0.6*0.9*1</f>
        <v>0.5400000000000001</v>
      </c>
      <c r="F201" s="41"/>
      <c r="G201" s="41"/>
      <c r="H201" s="41"/>
      <c r="I201" s="41"/>
      <c r="J201" s="41"/>
      <c r="K201" s="41"/>
      <c r="L201" s="71"/>
      <c r="M201" s="72"/>
      <c r="N201" s="72"/>
      <c r="O201" s="72"/>
      <c r="P201" s="72"/>
      <c r="Q201" s="72"/>
      <c r="R201" s="72"/>
      <c r="S201" s="72"/>
      <c r="T201" s="72"/>
      <c r="U201" s="72"/>
    </row>
    <row r="202" spans="1:21" s="73" customFormat="1" ht="13.5">
      <c r="A202" s="122" t="s">
        <v>326</v>
      </c>
      <c r="B202" s="122"/>
      <c r="C202" s="122"/>
      <c r="D202" s="122"/>
      <c r="E202" s="122"/>
      <c r="F202" s="122"/>
      <c r="G202" s="122"/>
      <c r="H202" s="122"/>
      <c r="I202" s="122"/>
      <c r="J202" s="53"/>
      <c r="K202" s="53"/>
      <c r="L202" s="80"/>
      <c r="M202" s="72"/>
      <c r="N202" s="72"/>
      <c r="O202" s="72"/>
      <c r="P202" s="72"/>
      <c r="Q202" s="72"/>
      <c r="R202" s="72"/>
      <c r="S202" s="72"/>
      <c r="T202" s="72"/>
      <c r="U202" s="72"/>
    </row>
    <row r="203" spans="1:20" s="42" customFormat="1" ht="13.5">
      <c r="A203" s="34" t="s">
        <v>327</v>
      </c>
      <c r="B203" s="123" t="s">
        <v>328</v>
      </c>
      <c r="C203" s="123"/>
      <c r="D203" s="123"/>
      <c r="E203" s="123"/>
      <c r="F203" s="123"/>
      <c r="G203" s="123"/>
      <c r="H203" s="123"/>
      <c r="I203" s="123"/>
      <c r="J203" s="123"/>
      <c r="K203" s="123"/>
      <c r="L203" s="68"/>
      <c r="M203" s="36"/>
      <c r="N203" s="36"/>
      <c r="O203" s="36"/>
      <c r="P203" s="36"/>
      <c r="Q203" s="36"/>
      <c r="R203" s="36"/>
      <c r="S203" s="36"/>
      <c r="T203" s="36"/>
    </row>
    <row r="204" spans="1:20" s="42" customFormat="1" ht="13.5">
      <c r="A204" s="37" t="s">
        <v>329</v>
      </c>
      <c r="B204" s="38" t="s">
        <v>692</v>
      </c>
      <c r="C204" s="46" t="s">
        <v>693</v>
      </c>
      <c r="D204" s="40" t="s">
        <v>23</v>
      </c>
      <c r="E204" s="41">
        <f>E175+E176-(E179/1.1)</f>
        <v>996.5105</v>
      </c>
      <c r="F204" s="41"/>
      <c r="G204" s="41"/>
      <c r="H204" s="41"/>
      <c r="I204" s="41"/>
      <c r="J204" s="41"/>
      <c r="K204" s="41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s="42" customFormat="1" ht="13.5">
      <c r="A205" s="37" t="s">
        <v>330</v>
      </c>
      <c r="B205" s="38" t="s">
        <v>694</v>
      </c>
      <c r="C205" s="46" t="s">
        <v>695</v>
      </c>
      <c r="D205" s="40" t="s">
        <v>23</v>
      </c>
      <c r="E205" s="41">
        <f>E204-E206</f>
        <v>479.8565</v>
      </c>
      <c r="F205" s="41"/>
      <c r="G205" s="41"/>
      <c r="H205" s="41"/>
      <c r="I205" s="41"/>
      <c r="J205" s="41"/>
      <c r="K205" s="41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s="42" customFormat="1" ht="13.5">
      <c r="A206" s="37" t="s">
        <v>331</v>
      </c>
      <c r="B206" s="120">
        <v>79460</v>
      </c>
      <c r="C206" s="46" t="s">
        <v>866</v>
      </c>
      <c r="D206" s="40" t="s">
        <v>23</v>
      </c>
      <c r="E206" s="41">
        <f>(2.85*(13.6+10.1+7.2+14.8+8.55+8.55+11.8+7.6+36.69+16.35+13.9+12.9))+(1.2*(3.4+2.25+2.25))+(1.4*2.1*3*4)+10.08</f>
        <v>516.654</v>
      </c>
      <c r="F206" s="41"/>
      <c r="G206" s="41"/>
      <c r="H206" s="41"/>
      <c r="I206" s="41"/>
      <c r="J206" s="41"/>
      <c r="K206" s="41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s="42" customFormat="1" ht="13.5">
      <c r="A207" s="37" t="s">
        <v>332</v>
      </c>
      <c r="B207" s="120">
        <v>79462</v>
      </c>
      <c r="C207" s="46" t="s">
        <v>867</v>
      </c>
      <c r="D207" s="40" t="s">
        <v>23</v>
      </c>
      <c r="E207" s="41">
        <f>E206</f>
        <v>516.654</v>
      </c>
      <c r="F207" s="41"/>
      <c r="G207" s="41"/>
      <c r="H207" s="41"/>
      <c r="I207" s="41"/>
      <c r="J207" s="41"/>
      <c r="K207" s="41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s="42" customFormat="1" ht="13.5">
      <c r="A208" s="37" t="s">
        <v>333</v>
      </c>
      <c r="B208" s="38" t="s">
        <v>696</v>
      </c>
      <c r="C208" s="46" t="s">
        <v>697</v>
      </c>
      <c r="D208" s="40" t="s">
        <v>23</v>
      </c>
      <c r="E208" s="41">
        <f>E180*1.15</f>
        <v>28.841999999999995</v>
      </c>
      <c r="F208" s="41"/>
      <c r="G208" s="41"/>
      <c r="H208" s="41"/>
      <c r="I208" s="41"/>
      <c r="J208" s="41"/>
      <c r="K208" s="41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s="42" customFormat="1" ht="13.5">
      <c r="A209" s="37" t="s">
        <v>334</v>
      </c>
      <c r="B209" s="120">
        <v>6082</v>
      </c>
      <c r="C209" s="46" t="s">
        <v>698</v>
      </c>
      <c r="D209" s="40" t="s">
        <v>23</v>
      </c>
      <c r="E209" s="41">
        <f>(0.8*2.1*3*6)+(0.7*2.1*3*2)+(1*2.1*3*2)</f>
        <v>51.660000000000004</v>
      </c>
      <c r="F209" s="41"/>
      <c r="G209" s="41"/>
      <c r="H209" s="41"/>
      <c r="I209" s="41"/>
      <c r="J209" s="41"/>
      <c r="K209" s="41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s="42" customFormat="1" ht="14.25">
      <c r="A210" s="67" t="s">
        <v>339</v>
      </c>
      <c r="B210" s="67"/>
      <c r="C210" s="67"/>
      <c r="D210" s="67"/>
      <c r="E210" s="67"/>
      <c r="F210" s="67"/>
      <c r="G210" s="67"/>
      <c r="H210" s="67"/>
      <c r="I210" s="67"/>
      <c r="J210" s="267"/>
      <c r="K210" s="267"/>
      <c r="L210" s="68"/>
      <c r="M210" s="36"/>
      <c r="N210" s="36"/>
      <c r="O210" s="36"/>
      <c r="P210" s="36"/>
      <c r="Q210" s="36"/>
      <c r="R210" s="36"/>
      <c r="S210" s="36"/>
      <c r="T210" s="36"/>
    </row>
    <row r="211" spans="1:22" s="73" customFormat="1" ht="13.5">
      <c r="A211" s="69" t="s">
        <v>340</v>
      </c>
      <c r="B211" s="70" t="s">
        <v>341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1"/>
      <c r="M211" s="72"/>
      <c r="N211" s="72"/>
      <c r="O211" s="72"/>
      <c r="P211" s="72"/>
      <c r="Q211" s="72"/>
      <c r="R211" s="72"/>
      <c r="S211" s="72"/>
      <c r="T211" s="72"/>
      <c r="U211" s="72"/>
      <c r="V211" s="72"/>
    </row>
    <row r="212" spans="1:22" s="73" customFormat="1" ht="13.5">
      <c r="A212" s="69" t="s">
        <v>342</v>
      </c>
      <c r="B212" s="139" t="s">
        <v>354</v>
      </c>
      <c r="C212" s="131" t="s">
        <v>699</v>
      </c>
      <c r="D212" s="140" t="s">
        <v>23</v>
      </c>
      <c r="E212" s="41">
        <f>224.76-165.36</f>
        <v>59.39999999999998</v>
      </c>
      <c r="F212" s="141"/>
      <c r="G212" s="41"/>
      <c r="H212" s="41"/>
      <c r="I212" s="41"/>
      <c r="J212" s="41"/>
      <c r="K212" s="41"/>
      <c r="L212" s="71"/>
      <c r="M212" s="72"/>
      <c r="N212" s="72"/>
      <c r="O212" s="72"/>
      <c r="P212" s="72"/>
      <c r="Q212" s="72"/>
      <c r="R212" s="72"/>
      <c r="S212" s="72"/>
      <c r="T212" s="72"/>
      <c r="U212" s="72"/>
      <c r="V212" s="72"/>
    </row>
    <row r="213" spans="1:22" s="73" customFormat="1" ht="14.25">
      <c r="A213" s="79" t="s">
        <v>405</v>
      </c>
      <c r="B213" s="79"/>
      <c r="C213" s="79"/>
      <c r="D213" s="79"/>
      <c r="E213" s="79"/>
      <c r="F213" s="79"/>
      <c r="G213" s="79"/>
      <c r="H213" s="79"/>
      <c r="I213" s="79"/>
      <c r="J213" s="267"/>
      <c r="K213" s="267"/>
      <c r="L213" s="80"/>
      <c r="M213" s="72"/>
      <c r="N213" s="72"/>
      <c r="O213" s="72"/>
      <c r="P213" s="72"/>
      <c r="Q213" s="72"/>
      <c r="R213" s="72"/>
      <c r="S213" s="72"/>
      <c r="T213" s="72"/>
      <c r="U213" s="72"/>
      <c r="V213" s="72"/>
    </row>
    <row r="214" spans="1:12" ht="13.5">
      <c r="A214" s="34" t="s">
        <v>406</v>
      </c>
      <c r="B214" s="143" t="s">
        <v>407</v>
      </c>
      <c r="C214" s="143"/>
      <c r="D214" s="143"/>
      <c r="E214" s="143"/>
      <c r="F214" s="143"/>
      <c r="G214" s="143"/>
      <c r="H214" s="143"/>
      <c r="I214" s="143"/>
      <c r="J214" s="143"/>
      <c r="K214" s="143"/>
      <c r="L214" s="144"/>
    </row>
    <row r="215" spans="1:11" s="42" customFormat="1" ht="13.5">
      <c r="A215" s="37" t="s">
        <v>408</v>
      </c>
      <c r="B215" s="120">
        <v>9537</v>
      </c>
      <c r="C215" s="36" t="s">
        <v>700</v>
      </c>
      <c r="D215" s="40" t="s">
        <v>23</v>
      </c>
      <c r="E215" s="41">
        <f>E13</f>
        <v>168.36</v>
      </c>
      <c r="F215" s="41"/>
      <c r="G215" s="41"/>
      <c r="H215" s="41"/>
      <c r="I215" s="41"/>
      <c r="J215" s="41"/>
      <c r="K215" s="41"/>
    </row>
    <row r="216" spans="1:11" ht="14.25">
      <c r="A216" s="67" t="s">
        <v>424</v>
      </c>
      <c r="B216" s="67"/>
      <c r="C216" s="67"/>
      <c r="D216" s="67"/>
      <c r="E216" s="67"/>
      <c r="F216" s="67"/>
      <c r="G216" s="67"/>
      <c r="H216" s="67"/>
      <c r="I216" s="67"/>
      <c r="J216" s="267"/>
      <c r="K216" s="260"/>
    </row>
    <row r="217" spans="1:11" s="151" customFormat="1" ht="13.5">
      <c r="A217" s="148"/>
      <c r="B217" s="149"/>
      <c r="C217" s="150"/>
      <c r="D217" s="150"/>
      <c r="E217" s="150"/>
      <c r="F217" s="150"/>
      <c r="G217" s="150"/>
      <c r="H217" s="150"/>
      <c r="I217" s="150"/>
      <c r="J217" s="150"/>
      <c r="K217" s="150"/>
    </row>
    <row r="218" spans="1:11" s="154" customFormat="1" ht="15.75">
      <c r="A218" s="152" t="s">
        <v>425</v>
      </c>
      <c r="B218" s="152"/>
      <c r="C218" s="152"/>
      <c r="D218" s="152"/>
      <c r="E218" s="152"/>
      <c r="F218" s="152"/>
      <c r="G218" s="152"/>
      <c r="H218" s="152"/>
      <c r="I218" s="152"/>
      <c r="J218" s="153"/>
      <c r="K218" s="153"/>
    </row>
  </sheetData>
  <sheetProtection selectLockedCells="1" selectUnlockedCells="1"/>
  <mergeCells count="48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O9"/>
    <mergeCell ref="P9:T9"/>
    <mergeCell ref="B11:K11"/>
    <mergeCell ref="A14:I14"/>
    <mergeCell ref="B15:K15"/>
    <mergeCell ref="A22:I22"/>
    <mergeCell ref="B23:K23"/>
    <mergeCell ref="A32:I32"/>
    <mergeCell ref="B33:K33"/>
    <mergeCell ref="A50:I50"/>
    <mergeCell ref="B51:K51"/>
    <mergeCell ref="A56:I56"/>
    <mergeCell ref="B57:K57"/>
    <mergeCell ref="A79:I79"/>
    <mergeCell ref="B80:K80"/>
    <mergeCell ref="A86:I86"/>
    <mergeCell ref="B87:K87"/>
    <mergeCell ref="A109:I109"/>
    <mergeCell ref="B110:K110"/>
    <mergeCell ref="A118:I118"/>
    <mergeCell ref="B119:K119"/>
    <mergeCell ref="A165:I165"/>
    <mergeCell ref="B166:K166"/>
    <mergeCell ref="A168:I168"/>
    <mergeCell ref="B169:K169"/>
    <mergeCell ref="A173:I173"/>
    <mergeCell ref="B174:K174"/>
    <mergeCell ref="A189:I189"/>
    <mergeCell ref="B190:K190"/>
    <mergeCell ref="A202:I202"/>
    <mergeCell ref="B203:K203"/>
    <mergeCell ref="A210:I210"/>
    <mergeCell ref="B211:K211"/>
    <mergeCell ref="A213:I213"/>
    <mergeCell ref="B214:K214"/>
    <mergeCell ref="A216:I216"/>
    <mergeCell ref="C217:K217"/>
    <mergeCell ref="A218:I218"/>
  </mergeCells>
  <printOptions/>
  <pageMargins left="0.5118055555555555" right="0.5118055555555555" top="0.7875" bottom="0.7875" header="0.5118055555555555" footer="0.31527777777777777"/>
  <pageSetup fitToHeight="10" fitToWidth="1" horizontalDpi="300" verticalDpi="300" orientation="landscape" paperSize="77"/>
  <headerFooter alignWithMargins="0">
    <oddFooter>&amp;L&amp;"Calibri,Regular"&amp;11CLÍNICA&amp;C&amp;"Calibri,Regular"&amp;11Página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9"/>
  <sheetViews>
    <sheetView zoomScale="90" zoomScaleNormal="9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6.28125" style="1" customWidth="1"/>
    <col min="2" max="2" width="12.421875" style="1" customWidth="1"/>
    <col min="3" max="3" width="70.28125" style="2" customWidth="1"/>
    <col min="4" max="4" width="10.140625" style="3" customWidth="1"/>
    <col min="5" max="5" width="11.8515625" style="4" customWidth="1"/>
    <col min="6" max="9" width="17.28125" style="2" customWidth="1"/>
    <col min="10" max="11" width="14.421875" style="2" customWidth="1"/>
    <col min="12" max="12" width="10.421875" style="2" customWidth="1"/>
    <col min="13" max="13" width="9.421875" style="2" customWidth="1"/>
    <col min="14" max="14" width="13.8515625" style="2" customWidth="1"/>
    <col min="15" max="18" width="9.421875" style="2" customWidth="1"/>
    <col min="19" max="19" width="14.140625" style="2" customWidth="1"/>
    <col min="20" max="16384" width="9.421875" style="2" customWidth="1"/>
  </cols>
  <sheetData>
    <row r="1" spans="1:11" s="6" customFormat="1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4:8" ht="14.25">
      <c r="D2" s="7"/>
      <c r="E2" s="8"/>
      <c r="F2" s="3"/>
      <c r="G2" s="3"/>
      <c r="H2" s="3"/>
    </row>
    <row r="3" spans="4:11" ht="18">
      <c r="D3" s="9" t="s">
        <v>868</v>
      </c>
      <c r="E3" s="10"/>
      <c r="F3" s="10"/>
      <c r="G3" s="10"/>
      <c r="H3" s="11"/>
      <c r="J3" s="12"/>
      <c r="K3" s="13"/>
    </row>
    <row r="4" spans="4:11" ht="14.25">
      <c r="D4" s="14" t="s">
        <v>2</v>
      </c>
      <c r="E4" s="15"/>
      <c r="F4" s="16"/>
      <c r="G4" s="16"/>
      <c r="H4" s="17"/>
      <c r="J4" s="18"/>
      <c r="K4" s="13"/>
    </row>
    <row r="5" spans="4:11" ht="14.25">
      <c r="D5" s="19" t="s">
        <v>869</v>
      </c>
      <c r="E5" s="19"/>
      <c r="F5" s="19"/>
      <c r="G5" s="19"/>
      <c r="H5" s="17"/>
      <c r="J5" s="18"/>
      <c r="K5" s="13"/>
    </row>
    <row r="6" spans="4:11" ht="14.25">
      <c r="D6" s="20" t="s">
        <v>811</v>
      </c>
      <c r="E6" s="20"/>
      <c r="F6" s="20"/>
      <c r="G6" s="20"/>
      <c r="H6" s="17"/>
      <c r="J6" s="18"/>
      <c r="K6" s="13"/>
    </row>
    <row r="7" spans="4:11" ht="14.25">
      <c r="D7" s="19" t="s">
        <v>5</v>
      </c>
      <c r="E7" s="19"/>
      <c r="F7" s="19"/>
      <c r="G7" s="19"/>
      <c r="H7" s="17"/>
      <c r="J7" s="18"/>
      <c r="K7" s="13"/>
    </row>
    <row r="8" spans="10:11" ht="14.25">
      <c r="J8" s="13"/>
      <c r="K8" s="13"/>
    </row>
    <row r="9" spans="1:20" s="6" customFormat="1" ht="15" customHeight="1">
      <c r="A9" s="21" t="s">
        <v>6</v>
      </c>
      <c r="B9" s="21" t="s">
        <v>7</v>
      </c>
      <c r="C9" s="21" t="s">
        <v>8</v>
      </c>
      <c r="D9" s="21" t="s">
        <v>9</v>
      </c>
      <c r="E9" s="22" t="s">
        <v>10</v>
      </c>
      <c r="F9" s="21" t="s">
        <v>11</v>
      </c>
      <c r="G9" s="21"/>
      <c r="H9" s="23" t="s">
        <v>12</v>
      </c>
      <c r="I9" s="23"/>
      <c r="J9" s="24" t="s">
        <v>13</v>
      </c>
      <c r="K9" s="25" t="s">
        <v>14</v>
      </c>
      <c r="L9" s="26"/>
      <c r="M9" s="26"/>
      <c r="N9" s="26"/>
      <c r="O9" s="26"/>
      <c r="P9" s="27"/>
      <c r="Q9" s="27"/>
      <c r="R9" s="27"/>
      <c r="S9" s="27"/>
      <c r="T9" s="27"/>
    </row>
    <row r="10" spans="1:20" ht="13.5">
      <c r="A10" s="21"/>
      <c r="B10" s="21"/>
      <c r="C10" s="21"/>
      <c r="D10" s="21"/>
      <c r="E10" s="22"/>
      <c r="F10" s="28" t="s">
        <v>15</v>
      </c>
      <c r="G10" s="29" t="s">
        <v>16</v>
      </c>
      <c r="H10" s="29" t="s">
        <v>15</v>
      </c>
      <c r="I10" s="29" t="s">
        <v>16</v>
      </c>
      <c r="J10" s="29" t="s">
        <v>17</v>
      </c>
      <c r="K10" s="31">
        <f>E4</f>
        <v>0</v>
      </c>
      <c r="L10" s="32"/>
      <c r="M10" s="33"/>
      <c r="N10" s="33"/>
      <c r="O10" s="33"/>
      <c r="P10" s="32"/>
      <c r="Q10" s="32"/>
      <c r="R10" s="33"/>
      <c r="S10" s="33"/>
      <c r="T10" s="32"/>
    </row>
    <row r="11" spans="1:20" ht="13.5">
      <c r="A11" s="34" t="s">
        <v>18</v>
      </c>
      <c r="B11" s="3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42" customFormat="1" ht="13.5">
      <c r="A12" s="37" t="s">
        <v>20</v>
      </c>
      <c r="B12" s="43">
        <v>73672</v>
      </c>
      <c r="C12" s="39" t="s">
        <v>25</v>
      </c>
      <c r="D12" s="40" t="s">
        <v>23</v>
      </c>
      <c r="E12" s="41">
        <v>12.8</v>
      </c>
      <c r="F12" s="41"/>
      <c r="G12" s="41"/>
      <c r="H12" s="41"/>
      <c r="I12" s="41"/>
      <c r="J12" s="41"/>
      <c r="K12" s="41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2" customFormat="1" ht="23.25">
      <c r="A13" s="37" t="s">
        <v>24</v>
      </c>
      <c r="B13" s="38" t="s">
        <v>42</v>
      </c>
      <c r="C13" s="44" t="s">
        <v>43</v>
      </c>
      <c r="D13" s="40" t="s">
        <v>23</v>
      </c>
      <c r="E13" s="41">
        <f>11.2/2</f>
        <v>5.6</v>
      </c>
      <c r="F13" s="41"/>
      <c r="G13" s="41"/>
      <c r="H13" s="41"/>
      <c r="I13" s="41"/>
      <c r="J13" s="41"/>
      <c r="K13" s="41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3.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3"/>
      <c r="K14" s="54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3.5">
      <c r="A15" s="34" t="s">
        <v>65</v>
      </c>
      <c r="B15" s="35" t="s">
        <v>66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42" customFormat="1" ht="13.5">
      <c r="A16" s="56" t="s">
        <v>67</v>
      </c>
      <c r="B16" s="57" t="s">
        <v>68</v>
      </c>
      <c r="C16" s="58" t="s">
        <v>69</v>
      </c>
      <c r="D16" s="40" t="s">
        <v>346</v>
      </c>
      <c r="E16" s="41">
        <f>E12*0.5</f>
        <v>6.4</v>
      </c>
      <c r="F16" s="41"/>
      <c r="G16" s="41"/>
      <c r="H16" s="41"/>
      <c r="I16" s="41"/>
      <c r="J16" s="41"/>
      <c r="K16" s="41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42" customFormat="1" ht="13.5">
      <c r="A17" s="56" t="s">
        <v>430</v>
      </c>
      <c r="B17" s="57" t="s">
        <v>428</v>
      </c>
      <c r="C17" s="58" t="s">
        <v>429</v>
      </c>
      <c r="D17" s="40" t="s">
        <v>23</v>
      </c>
      <c r="E17" s="41">
        <f>E12/1.5</f>
        <v>8.533333333333333</v>
      </c>
      <c r="F17" s="41"/>
      <c r="G17" s="41"/>
      <c r="H17" s="41"/>
      <c r="I17" s="41"/>
      <c r="J17" s="41"/>
      <c r="K17" s="41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42" customFormat="1" ht="13.5">
      <c r="A18" s="56" t="s">
        <v>70</v>
      </c>
      <c r="B18" s="207" t="s">
        <v>432</v>
      </c>
      <c r="C18" s="316" t="s">
        <v>433</v>
      </c>
      <c r="D18" s="196" t="s">
        <v>346</v>
      </c>
      <c r="E18" s="41">
        <v>3.36</v>
      </c>
      <c r="F18" s="41"/>
      <c r="G18" s="41"/>
      <c r="H18" s="41"/>
      <c r="I18" s="41"/>
      <c r="J18" s="41"/>
      <c r="K18" s="41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42" customFormat="1" ht="13.5">
      <c r="A19" s="56" t="s">
        <v>71</v>
      </c>
      <c r="B19" s="207" t="s">
        <v>434</v>
      </c>
      <c r="C19" s="316" t="s">
        <v>435</v>
      </c>
      <c r="D19" s="184" t="s">
        <v>23</v>
      </c>
      <c r="E19" s="41">
        <v>5.6</v>
      </c>
      <c r="F19" s="41"/>
      <c r="G19" s="41"/>
      <c r="H19" s="41"/>
      <c r="I19" s="41"/>
      <c r="J19" s="41"/>
      <c r="K19" s="41"/>
      <c r="L19" s="36"/>
      <c r="M19" s="36"/>
      <c r="N19" s="36"/>
      <c r="O19" s="36"/>
      <c r="P19" s="36"/>
      <c r="Q19" s="36"/>
      <c r="R19" s="36"/>
      <c r="S19" s="36"/>
      <c r="T19" s="36"/>
    </row>
    <row r="20" spans="1:20" s="42" customFormat="1" ht="23.25">
      <c r="A20" s="56" t="s">
        <v>72</v>
      </c>
      <c r="B20" s="174">
        <v>72915</v>
      </c>
      <c r="C20" s="58" t="s">
        <v>431</v>
      </c>
      <c r="D20" s="40" t="s">
        <v>346</v>
      </c>
      <c r="E20" s="41">
        <f>(0.6*0.6*0.6)+(1.9*1.1*1.4)+((3.14*((1.2/2)*(1.2/2)))*5)</f>
        <v>8.794</v>
      </c>
      <c r="F20" s="41"/>
      <c r="G20" s="41"/>
      <c r="H20" s="41"/>
      <c r="I20" s="41"/>
      <c r="J20" s="41"/>
      <c r="K20" s="41"/>
      <c r="L20" s="36"/>
      <c r="M20" s="36"/>
      <c r="N20" s="36"/>
      <c r="O20" s="36"/>
      <c r="P20" s="36"/>
      <c r="Q20" s="36"/>
      <c r="R20" s="36"/>
      <c r="S20" s="36"/>
      <c r="T20" s="36"/>
    </row>
    <row r="21" spans="1:20" s="173" customFormat="1" ht="14.25">
      <c r="A21" s="56" t="s">
        <v>73</v>
      </c>
      <c r="B21" s="174">
        <v>6430</v>
      </c>
      <c r="C21" s="58" t="s">
        <v>359</v>
      </c>
      <c r="D21" s="40" t="s">
        <v>346</v>
      </c>
      <c r="E21" s="41">
        <v>3</v>
      </c>
      <c r="F21" s="41"/>
      <c r="G21" s="41"/>
      <c r="H21" s="41"/>
      <c r="I21" s="41"/>
      <c r="J21" s="41"/>
      <c r="K21" s="41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4.25">
      <c r="A22" s="67" t="s">
        <v>80</v>
      </c>
      <c r="B22" s="67"/>
      <c r="C22" s="67"/>
      <c r="D22" s="67"/>
      <c r="E22" s="67"/>
      <c r="F22" s="67"/>
      <c r="G22" s="67"/>
      <c r="H22" s="67"/>
      <c r="I22" s="67"/>
      <c r="J22" s="53"/>
      <c r="K22" s="260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3.5">
      <c r="A23" s="34" t="s">
        <v>81</v>
      </c>
      <c r="B23" s="35" t="s">
        <v>82</v>
      </c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42" customFormat="1" ht="13.5">
      <c r="A24" s="37" t="s">
        <v>83</v>
      </c>
      <c r="B24" s="37"/>
      <c r="C24" s="176" t="s">
        <v>436</v>
      </c>
      <c r="D24" s="177" t="s">
        <v>23</v>
      </c>
      <c r="E24" s="178">
        <v>8.2</v>
      </c>
      <c r="F24" s="178"/>
      <c r="G24" s="178"/>
      <c r="H24" s="178"/>
      <c r="I24" s="178"/>
      <c r="J24" s="178"/>
      <c r="K24" s="178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42" customFormat="1" ht="13.5">
      <c r="A25" s="37" t="s">
        <v>84</v>
      </c>
      <c r="B25" s="37" t="s">
        <v>437</v>
      </c>
      <c r="C25" s="176" t="s">
        <v>438</v>
      </c>
      <c r="D25" s="177" t="s">
        <v>346</v>
      </c>
      <c r="E25" s="178">
        <v>1.9</v>
      </c>
      <c r="F25" s="178"/>
      <c r="G25" s="178"/>
      <c r="H25" s="178"/>
      <c r="I25" s="178"/>
      <c r="J25" s="178"/>
      <c r="K25" s="178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2" customFormat="1" ht="13.5">
      <c r="A26" s="37" t="s">
        <v>85</v>
      </c>
      <c r="B26" s="37" t="s">
        <v>439</v>
      </c>
      <c r="C26" s="176" t="s">
        <v>440</v>
      </c>
      <c r="D26" s="177" t="s">
        <v>346</v>
      </c>
      <c r="E26" s="178">
        <v>1.9</v>
      </c>
      <c r="F26" s="178"/>
      <c r="G26" s="178"/>
      <c r="H26" s="178"/>
      <c r="I26" s="178"/>
      <c r="J26" s="178"/>
      <c r="K26" s="178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13.5">
      <c r="A27" s="37" t="s">
        <v>86</v>
      </c>
      <c r="B27" s="37"/>
      <c r="C27" s="176" t="s">
        <v>441</v>
      </c>
      <c r="D27" s="177" t="s">
        <v>346</v>
      </c>
      <c r="E27" s="178">
        <v>0.2800000000000001</v>
      </c>
      <c r="F27" s="178"/>
      <c r="G27" s="178"/>
      <c r="H27" s="178"/>
      <c r="I27" s="178"/>
      <c r="J27" s="178"/>
      <c r="K27" s="178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42" customFormat="1" ht="13.5">
      <c r="A28" s="37" t="s">
        <v>87</v>
      </c>
      <c r="B28" s="37"/>
      <c r="C28" s="176" t="s">
        <v>442</v>
      </c>
      <c r="D28" s="177" t="s">
        <v>346</v>
      </c>
      <c r="E28" s="178">
        <v>0.5600000000000002</v>
      </c>
      <c r="F28" s="178"/>
      <c r="G28" s="178"/>
      <c r="H28" s="178"/>
      <c r="I28" s="178"/>
      <c r="J28" s="178"/>
      <c r="K28" s="178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42" customFormat="1" ht="13.5">
      <c r="A29" s="37" t="s">
        <v>88</v>
      </c>
      <c r="B29" s="37" t="s">
        <v>439</v>
      </c>
      <c r="C29" s="176" t="s">
        <v>443</v>
      </c>
      <c r="D29" s="177" t="s">
        <v>346</v>
      </c>
      <c r="E29" s="178">
        <v>0.5600000000000002</v>
      </c>
      <c r="F29" s="178"/>
      <c r="G29" s="178"/>
      <c r="H29" s="178"/>
      <c r="I29" s="178"/>
      <c r="J29" s="178"/>
      <c r="K29" s="178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42" customFormat="1" ht="13.5">
      <c r="A30" s="37" t="s">
        <v>89</v>
      </c>
      <c r="B30" s="37"/>
      <c r="C30" s="176" t="s">
        <v>444</v>
      </c>
      <c r="D30" s="177" t="s">
        <v>23</v>
      </c>
      <c r="E30" s="178">
        <v>4.2</v>
      </c>
      <c r="F30" s="178"/>
      <c r="G30" s="178"/>
      <c r="H30" s="178"/>
      <c r="I30" s="178"/>
      <c r="J30" s="178"/>
      <c r="K30" s="178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42" customFormat="1" ht="23.25">
      <c r="A31" s="37" t="s">
        <v>90</v>
      </c>
      <c r="B31" s="179" t="s">
        <v>445</v>
      </c>
      <c r="C31" s="180" t="s">
        <v>446</v>
      </c>
      <c r="D31" s="177" t="s">
        <v>447</v>
      </c>
      <c r="E31" s="178">
        <v>78.9</v>
      </c>
      <c r="F31" s="178"/>
      <c r="G31" s="178"/>
      <c r="H31" s="178"/>
      <c r="I31" s="178"/>
      <c r="J31" s="178"/>
      <c r="K31" s="178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3.5">
      <c r="A32" s="67" t="s">
        <v>93</v>
      </c>
      <c r="B32" s="67"/>
      <c r="C32" s="67"/>
      <c r="D32" s="67"/>
      <c r="E32" s="67"/>
      <c r="F32" s="67"/>
      <c r="G32" s="67"/>
      <c r="H32" s="67"/>
      <c r="I32" s="67"/>
      <c r="J32" s="53"/>
      <c r="K32" s="53"/>
      <c r="L32" s="68"/>
      <c r="M32" s="36"/>
      <c r="N32" s="36"/>
      <c r="O32" s="36"/>
      <c r="P32" s="36"/>
      <c r="Q32" s="36"/>
      <c r="R32" s="36"/>
      <c r="S32" s="36"/>
      <c r="T32" s="36"/>
    </row>
    <row r="33" spans="1:22" s="73" customFormat="1" ht="13.5">
      <c r="A33" s="69" t="s">
        <v>94</v>
      </c>
      <c r="B33" s="70" t="s">
        <v>95</v>
      </c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s="78" customFormat="1" ht="13.5">
      <c r="A34" s="74" t="s">
        <v>96</v>
      </c>
      <c r="B34" s="74"/>
      <c r="C34" s="183" t="s">
        <v>448</v>
      </c>
      <c r="D34" s="184" t="s">
        <v>346</v>
      </c>
      <c r="E34" s="178">
        <f>0.03+0.08</f>
        <v>0.11</v>
      </c>
      <c r="F34" s="264"/>
      <c r="G34" s="264"/>
      <c r="H34" s="264"/>
      <c r="I34" s="264"/>
      <c r="J34" s="264"/>
      <c r="K34" s="178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s="78" customFormat="1" ht="13.5">
      <c r="A35" s="74" t="s">
        <v>97</v>
      </c>
      <c r="B35" s="120" t="s">
        <v>517</v>
      </c>
      <c r="C35" s="317" t="s">
        <v>870</v>
      </c>
      <c r="D35" s="177" t="s">
        <v>23</v>
      </c>
      <c r="E35" s="263">
        <f>0.84*1.6</f>
        <v>1.344</v>
      </c>
      <c r="F35" s="264"/>
      <c r="G35" s="264"/>
      <c r="H35" s="264"/>
      <c r="I35" s="264"/>
      <c r="J35" s="264"/>
      <c r="K35" s="178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s="78" customFormat="1" ht="23.25">
      <c r="A36" s="74" t="s">
        <v>98</v>
      </c>
      <c r="B36" s="182"/>
      <c r="C36" s="190" t="s">
        <v>449</v>
      </c>
      <c r="D36" s="184" t="s">
        <v>23</v>
      </c>
      <c r="E36" s="185">
        <v>37</v>
      </c>
      <c r="F36" s="186"/>
      <c r="G36" s="186"/>
      <c r="H36" s="186"/>
      <c r="I36" s="186"/>
      <c r="J36" s="191"/>
      <c r="K36" s="192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s="78" customFormat="1" ht="23.25">
      <c r="A37" s="74" t="s">
        <v>99</v>
      </c>
      <c r="B37" s="182"/>
      <c r="C37" s="190" t="s">
        <v>450</v>
      </c>
      <c r="D37" s="184" t="s">
        <v>23</v>
      </c>
      <c r="E37" s="185">
        <v>34.7</v>
      </c>
      <c r="F37" s="186"/>
      <c r="G37" s="186"/>
      <c r="H37" s="186"/>
      <c r="I37" s="186"/>
      <c r="J37" s="191"/>
      <c r="K37" s="192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s="78" customFormat="1" ht="13.5">
      <c r="A38" s="74" t="s">
        <v>100</v>
      </c>
      <c r="B38" s="37" t="s">
        <v>437</v>
      </c>
      <c r="C38" s="183" t="s">
        <v>451</v>
      </c>
      <c r="D38" s="184" t="s">
        <v>346</v>
      </c>
      <c r="E38" s="185">
        <v>2.2</v>
      </c>
      <c r="F38" s="186"/>
      <c r="G38" s="186"/>
      <c r="H38" s="186"/>
      <c r="I38" s="186"/>
      <c r="J38" s="191"/>
      <c r="K38" s="192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2" s="78" customFormat="1" ht="13.5">
      <c r="A39" s="74" t="s">
        <v>101</v>
      </c>
      <c r="B39" s="182" t="s">
        <v>452</v>
      </c>
      <c r="C39" s="183" t="s">
        <v>453</v>
      </c>
      <c r="D39" s="184" t="s">
        <v>346</v>
      </c>
      <c r="E39" s="185"/>
      <c r="F39" s="186"/>
      <c r="G39" s="186"/>
      <c r="H39" s="186"/>
      <c r="I39" s="186"/>
      <c r="J39" s="191"/>
      <c r="K39" s="192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2" s="78" customFormat="1" ht="13.5">
      <c r="A40" s="74" t="s">
        <v>102</v>
      </c>
      <c r="B40" s="37" t="s">
        <v>437</v>
      </c>
      <c r="C40" s="183" t="s">
        <v>454</v>
      </c>
      <c r="D40" s="184" t="s">
        <v>346</v>
      </c>
      <c r="E40" s="185">
        <v>2.2</v>
      </c>
      <c r="F40" s="186"/>
      <c r="G40" s="186"/>
      <c r="H40" s="186"/>
      <c r="I40" s="186"/>
      <c r="J40" s="191"/>
      <c r="K40" s="192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s="78" customFormat="1" ht="13.5">
      <c r="A41" s="74" t="s">
        <v>103</v>
      </c>
      <c r="B41" s="182" t="s">
        <v>452</v>
      </c>
      <c r="C41" s="183" t="s">
        <v>455</v>
      </c>
      <c r="D41" s="184" t="s">
        <v>346</v>
      </c>
      <c r="E41" s="185"/>
      <c r="F41" s="186"/>
      <c r="G41" s="186"/>
      <c r="H41" s="186"/>
      <c r="I41" s="186"/>
      <c r="J41" s="191"/>
      <c r="K41" s="192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s="78" customFormat="1" ht="23.25">
      <c r="A42" s="74" t="s">
        <v>104</v>
      </c>
      <c r="B42" s="179" t="s">
        <v>445</v>
      </c>
      <c r="C42" s="183" t="s">
        <v>456</v>
      </c>
      <c r="D42" s="184" t="s">
        <v>447</v>
      </c>
      <c r="E42" s="185">
        <v>227.6</v>
      </c>
      <c r="F42" s="186"/>
      <c r="G42" s="186"/>
      <c r="H42" s="186"/>
      <c r="I42" s="186"/>
      <c r="J42" s="191"/>
      <c r="K42" s="192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s="78" customFormat="1" ht="13.5">
      <c r="A43" s="74" t="s">
        <v>105</v>
      </c>
      <c r="B43" s="37" t="s">
        <v>457</v>
      </c>
      <c r="C43" s="183" t="s">
        <v>458</v>
      </c>
      <c r="D43" s="184" t="s">
        <v>447</v>
      </c>
      <c r="E43" s="185">
        <v>43.5</v>
      </c>
      <c r="F43" s="186"/>
      <c r="G43" s="186"/>
      <c r="H43" s="186"/>
      <c r="I43" s="186"/>
      <c r="J43" s="191"/>
      <c r="K43" s="192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s="78" customFormat="1" ht="23.25">
      <c r="A44" s="74" t="s">
        <v>460</v>
      </c>
      <c r="B44" s="179" t="s">
        <v>445</v>
      </c>
      <c r="C44" s="183" t="s">
        <v>459</v>
      </c>
      <c r="D44" s="184" t="s">
        <v>447</v>
      </c>
      <c r="E44" s="185">
        <v>70.1</v>
      </c>
      <c r="F44" s="186"/>
      <c r="G44" s="186"/>
      <c r="H44" s="186"/>
      <c r="I44" s="186"/>
      <c r="J44" s="191"/>
      <c r="K44" s="192"/>
      <c r="L44" s="71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s="78" customFormat="1" ht="13.5">
      <c r="A45" s="74" t="s">
        <v>462</v>
      </c>
      <c r="B45" s="37" t="s">
        <v>457</v>
      </c>
      <c r="C45" s="183" t="s">
        <v>461</v>
      </c>
      <c r="D45" s="184" t="s">
        <v>447</v>
      </c>
      <c r="E45" s="185">
        <v>31.4</v>
      </c>
      <c r="F45" s="186"/>
      <c r="G45" s="186"/>
      <c r="H45" s="186"/>
      <c r="I45" s="186"/>
      <c r="J45" s="191"/>
      <c r="K45" s="192"/>
      <c r="L45" s="71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2" s="78" customFormat="1" ht="23.25">
      <c r="A46" s="74" t="s">
        <v>705</v>
      </c>
      <c r="B46" s="182"/>
      <c r="C46" s="190" t="s">
        <v>706</v>
      </c>
      <c r="D46" s="184" t="s">
        <v>23</v>
      </c>
      <c r="E46" s="185">
        <v>11.2</v>
      </c>
      <c r="F46" s="186"/>
      <c r="G46" s="186"/>
      <c r="H46" s="186"/>
      <c r="I46" s="186"/>
      <c r="J46" s="191"/>
      <c r="K46" s="192"/>
      <c r="L46" s="71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s="78" customFormat="1" ht="13.5">
      <c r="A47" s="74" t="s">
        <v>464</v>
      </c>
      <c r="B47" s="182"/>
      <c r="C47" s="183" t="s">
        <v>465</v>
      </c>
      <c r="D47" s="184" t="s">
        <v>391</v>
      </c>
      <c r="E47" s="185">
        <v>150</v>
      </c>
      <c r="F47" s="186"/>
      <c r="G47" s="186"/>
      <c r="H47" s="186"/>
      <c r="I47" s="186"/>
      <c r="J47" s="191"/>
      <c r="K47" s="192"/>
      <c r="L47" s="71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2" s="78" customFormat="1" ht="13.5">
      <c r="A48" s="74" t="s">
        <v>707</v>
      </c>
      <c r="B48" s="37" t="s">
        <v>437</v>
      </c>
      <c r="C48" s="183" t="s">
        <v>467</v>
      </c>
      <c r="D48" s="184" t="s">
        <v>346</v>
      </c>
      <c r="E48" s="185">
        <v>1</v>
      </c>
      <c r="F48" s="186"/>
      <c r="G48" s="186"/>
      <c r="H48" s="186"/>
      <c r="I48" s="186"/>
      <c r="J48" s="191"/>
      <c r="K48" s="192"/>
      <c r="L48" s="71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s="78" customFormat="1" ht="13.5">
      <c r="A49" s="74" t="s">
        <v>466</v>
      </c>
      <c r="B49" s="182" t="s">
        <v>452</v>
      </c>
      <c r="C49" s="183" t="s">
        <v>469</v>
      </c>
      <c r="D49" s="184" t="s">
        <v>346</v>
      </c>
      <c r="E49" s="185">
        <v>1</v>
      </c>
      <c r="F49" s="186"/>
      <c r="G49" s="186"/>
      <c r="H49" s="186"/>
      <c r="I49" s="186"/>
      <c r="J49" s="191"/>
      <c r="K49" s="192"/>
      <c r="L49" s="71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s="78" customFormat="1" ht="13.5">
      <c r="A50" s="318" t="s">
        <v>106</v>
      </c>
      <c r="B50" s="318"/>
      <c r="C50" s="318"/>
      <c r="D50" s="318"/>
      <c r="E50" s="318"/>
      <c r="F50" s="318"/>
      <c r="G50" s="318"/>
      <c r="H50" s="318"/>
      <c r="I50" s="318"/>
      <c r="J50" s="319"/>
      <c r="K50" s="319"/>
      <c r="L50" s="80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s="78" customFormat="1" ht="13.5">
      <c r="A51" s="74" t="s">
        <v>107</v>
      </c>
      <c r="B51" s="81" t="s">
        <v>108</v>
      </c>
      <c r="C51" s="81"/>
      <c r="D51" s="81"/>
      <c r="E51" s="81"/>
      <c r="F51" s="81"/>
      <c r="G51" s="81"/>
      <c r="H51" s="81"/>
      <c r="I51" s="81"/>
      <c r="J51" s="81"/>
      <c r="K51" s="81"/>
      <c r="L51" s="71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0" s="42" customFormat="1" ht="23.25">
      <c r="A52" s="37" t="s">
        <v>109</v>
      </c>
      <c r="B52" s="38" t="s">
        <v>470</v>
      </c>
      <c r="C52" s="44" t="s">
        <v>471</v>
      </c>
      <c r="D52" s="40" t="s">
        <v>23</v>
      </c>
      <c r="E52" s="41">
        <f>(6.6*(0.8*2))+(0.55*4.8)</f>
        <v>13.200000000000001</v>
      </c>
      <c r="F52" s="41"/>
      <c r="G52" s="41"/>
      <c r="H52" s="41"/>
      <c r="I52" s="41"/>
      <c r="J52" s="41"/>
      <c r="K52" s="77"/>
      <c r="L52" s="68"/>
      <c r="M52" s="36"/>
      <c r="N52" s="36"/>
      <c r="O52" s="36"/>
      <c r="P52" s="36"/>
      <c r="Q52" s="36"/>
      <c r="R52" s="36"/>
      <c r="S52" s="36"/>
      <c r="T52" s="36"/>
    </row>
    <row r="53" spans="1:20" s="42" customFormat="1" ht="23.25">
      <c r="A53" s="37" t="s">
        <v>110</v>
      </c>
      <c r="B53" s="38" t="s">
        <v>472</v>
      </c>
      <c r="C53" s="44" t="s">
        <v>473</v>
      </c>
      <c r="D53" s="40" t="s">
        <v>23</v>
      </c>
      <c r="E53" s="41">
        <f>(3.85*8)+(2.55*8)</f>
        <v>51.2</v>
      </c>
      <c r="F53" s="41"/>
      <c r="G53" s="41"/>
      <c r="H53" s="41"/>
      <c r="I53" s="41"/>
      <c r="J53" s="41"/>
      <c r="K53" s="41"/>
      <c r="L53" s="36"/>
      <c r="M53" s="36"/>
      <c r="N53" s="36"/>
      <c r="O53" s="36"/>
      <c r="P53" s="36"/>
      <c r="Q53" s="36"/>
      <c r="R53" s="36"/>
      <c r="S53" s="36"/>
      <c r="T53" s="36"/>
    </row>
    <row r="54" spans="1:20" s="42" customFormat="1" ht="24.75" customHeight="1">
      <c r="A54" s="37" t="s">
        <v>111</v>
      </c>
      <c r="B54" s="38" t="s">
        <v>475</v>
      </c>
      <c r="C54" s="44" t="s">
        <v>476</v>
      </c>
      <c r="D54" s="40" t="s">
        <v>346</v>
      </c>
      <c r="E54" s="41">
        <f>(0.2*0.1)*((2*1.3)+(5*1.1*2)+(1*5.4))</f>
        <v>0.38000000000000006</v>
      </c>
      <c r="F54" s="41"/>
      <c r="G54" s="41"/>
      <c r="H54" s="41"/>
      <c r="I54" s="41"/>
      <c r="J54" s="41"/>
      <c r="K54" s="41"/>
      <c r="L54" s="36"/>
      <c r="M54" s="36"/>
      <c r="N54" s="36"/>
      <c r="O54" s="36"/>
      <c r="P54" s="36"/>
      <c r="Q54" s="36"/>
      <c r="R54" s="36"/>
      <c r="S54" s="36"/>
      <c r="T54" s="36"/>
    </row>
    <row r="55" spans="1:22" s="73" customFormat="1" ht="13.5">
      <c r="A55" s="79" t="s">
        <v>119</v>
      </c>
      <c r="B55" s="79"/>
      <c r="C55" s="79"/>
      <c r="D55" s="79"/>
      <c r="E55" s="79"/>
      <c r="F55" s="79"/>
      <c r="G55" s="79"/>
      <c r="H55" s="79"/>
      <c r="I55" s="79"/>
      <c r="J55" s="53"/>
      <c r="K55" s="53"/>
      <c r="L55" s="80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0" s="42" customFormat="1" ht="15.75" customHeight="1">
      <c r="A56" s="34" t="s">
        <v>120</v>
      </c>
      <c r="B56" s="35" t="s">
        <v>121</v>
      </c>
      <c r="C56" s="35"/>
      <c r="D56" s="35"/>
      <c r="E56" s="35"/>
      <c r="F56" s="35"/>
      <c r="G56" s="35"/>
      <c r="H56" s="35"/>
      <c r="I56" s="35"/>
      <c r="J56" s="35"/>
      <c r="K56" s="35"/>
      <c r="L56" s="68"/>
      <c r="M56" s="36"/>
      <c r="N56" s="36"/>
      <c r="O56" s="36"/>
      <c r="P56" s="36"/>
      <c r="Q56" s="36"/>
      <c r="R56" s="36"/>
      <c r="S56" s="36"/>
      <c r="T56" s="36"/>
    </row>
    <row r="57" spans="1:20" s="42" customFormat="1" ht="15.75" customHeight="1">
      <c r="A57" s="82" t="s">
        <v>122</v>
      </c>
      <c r="B57" s="198" t="s">
        <v>482</v>
      </c>
      <c r="C57" s="39" t="s">
        <v>483</v>
      </c>
      <c r="D57" s="40" t="s">
        <v>23</v>
      </c>
      <c r="E57" s="83">
        <f>0.9*5.4</f>
        <v>4.86</v>
      </c>
      <c r="F57" s="83"/>
      <c r="G57" s="83"/>
      <c r="H57" s="83"/>
      <c r="I57" s="83"/>
      <c r="J57" s="83"/>
      <c r="K57" s="41"/>
      <c r="L57" s="36"/>
      <c r="M57" s="36"/>
      <c r="N57" s="36"/>
      <c r="O57" s="36"/>
      <c r="P57" s="36"/>
      <c r="Q57" s="36"/>
      <c r="R57" s="36"/>
      <c r="S57" s="36"/>
      <c r="T57" s="36"/>
    </row>
    <row r="58" spans="1:20" s="42" customFormat="1" ht="15.75" customHeight="1">
      <c r="A58" s="82" t="s">
        <v>123</v>
      </c>
      <c r="B58" s="129" t="s">
        <v>871</v>
      </c>
      <c r="C58" s="39" t="s">
        <v>872</v>
      </c>
      <c r="D58" s="40" t="s">
        <v>189</v>
      </c>
      <c r="E58" s="83">
        <v>6.58</v>
      </c>
      <c r="F58" s="83"/>
      <c r="G58" s="83"/>
      <c r="H58" s="83"/>
      <c r="I58" s="83"/>
      <c r="J58" s="83"/>
      <c r="K58" s="41"/>
      <c r="L58" s="36"/>
      <c r="M58" s="36"/>
      <c r="N58" s="36"/>
      <c r="O58" s="36"/>
      <c r="P58" s="36"/>
      <c r="Q58" s="36"/>
      <c r="R58" s="36"/>
      <c r="S58" s="36"/>
      <c r="T58" s="36"/>
    </row>
    <row r="59" spans="1:20" s="42" customFormat="1" ht="15.75" customHeight="1">
      <c r="A59" s="82" t="s">
        <v>124</v>
      </c>
      <c r="B59" s="75" t="s">
        <v>716</v>
      </c>
      <c r="C59" s="39" t="s">
        <v>717</v>
      </c>
      <c r="D59" s="40" t="s">
        <v>189</v>
      </c>
      <c r="E59" s="83">
        <v>1.75</v>
      </c>
      <c r="F59" s="83"/>
      <c r="G59" s="83"/>
      <c r="H59" s="83"/>
      <c r="I59" s="83"/>
      <c r="J59" s="83"/>
      <c r="K59" s="41"/>
      <c r="L59" s="36"/>
      <c r="M59" s="36"/>
      <c r="N59" s="36"/>
      <c r="O59" s="36"/>
      <c r="P59" s="36"/>
      <c r="Q59" s="36"/>
      <c r="R59" s="36"/>
      <c r="S59" s="36"/>
      <c r="T59" s="36"/>
    </row>
    <row r="60" spans="1:20" s="42" customFormat="1" ht="23.25">
      <c r="A60" s="82" t="s">
        <v>125</v>
      </c>
      <c r="B60" s="75" t="s">
        <v>486</v>
      </c>
      <c r="C60" s="44" t="s">
        <v>873</v>
      </c>
      <c r="D60" s="40" t="s">
        <v>391</v>
      </c>
      <c r="E60" s="83">
        <v>1</v>
      </c>
      <c r="F60" s="83"/>
      <c r="G60" s="83"/>
      <c r="H60" s="83"/>
      <c r="I60" s="83"/>
      <c r="J60" s="83"/>
      <c r="K60" s="41"/>
      <c r="L60" s="36"/>
      <c r="M60" s="36"/>
      <c r="N60" s="36"/>
      <c r="O60" s="36"/>
      <c r="P60" s="36"/>
      <c r="Q60" s="36"/>
      <c r="R60" s="36"/>
      <c r="S60" s="36"/>
      <c r="T60" s="36"/>
    </row>
    <row r="61" spans="1:20" s="42" customFormat="1" ht="23.25">
      <c r="A61" s="82" t="s">
        <v>126</v>
      </c>
      <c r="B61" s="38" t="s">
        <v>725</v>
      </c>
      <c r="C61" s="44" t="s">
        <v>726</v>
      </c>
      <c r="D61" s="40" t="s">
        <v>391</v>
      </c>
      <c r="E61" s="83">
        <v>2</v>
      </c>
      <c r="F61" s="83"/>
      <c r="G61" s="83"/>
      <c r="H61" s="83"/>
      <c r="I61" s="83"/>
      <c r="J61" s="83"/>
      <c r="K61" s="41"/>
      <c r="L61" s="36"/>
      <c r="M61" s="36"/>
      <c r="N61" s="36"/>
      <c r="O61" s="36"/>
      <c r="P61" s="36"/>
      <c r="Q61" s="36"/>
      <c r="R61" s="36"/>
      <c r="S61" s="36"/>
      <c r="T61" s="36"/>
    </row>
    <row r="62" spans="1:20" s="42" customFormat="1" ht="13.5">
      <c r="A62" s="82" t="s">
        <v>127</v>
      </c>
      <c r="B62" s="120" t="s">
        <v>506</v>
      </c>
      <c r="C62" s="44" t="s">
        <v>732</v>
      </c>
      <c r="D62" s="40" t="s">
        <v>391</v>
      </c>
      <c r="E62" s="41">
        <v>1</v>
      </c>
      <c r="F62" s="83"/>
      <c r="G62" s="83"/>
      <c r="H62" s="83"/>
      <c r="I62" s="83"/>
      <c r="J62" s="83"/>
      <c r="K62" s="41"/>
      <c r="L62" s="36"/>
      <c r="M62" s="36"/>
      <c r="N62" s="36"/>
      <c r="O62" s="36"/>
      <c r="P62" s="36"/>
      <c r="Q62" s="36"/>
      <c r="R62" s="36"/>
      <c r="S62" s="36"/>
      <c r="T62" s="36"/>
    </row>
    <row r="63" spans="1:20" s="42" customFormat="1" ht="15.75" customHeight="1">
      <c r="A63" s="67" t="s">
        <v>132</v>
      </c>
      <c r="B63" s="67"/>
      <c r="C63" s="67"/>
      <c r="D63" s="67"/>
      <c r="E63" s="67"/>
      <c r="F63" s="67"/>
      <c r="G63" s="67"/>
      <c r="H63" s="67"/>
      <c r="I63" s="67"/>
      <c r="J63" s="267"/>
      <c r="K63" s="267"/>
      <c r="L63" s="68"/>
      <c r="M63" s="36"/>
      <c r="N63" s="36"/>
      <c r="O63" s="36"/>
      <c r="P63" s="36"/>
      <c r="Q63" s="36"/>
      <c r="R63" s="36"/>
      <c r="S63" s="36"/>
      <c r="T63" s="36"/>
    </row>
    <row r="64" spans="1:22" s="73" customFormat="1" ht="13.5">
      <c r="A64" s="69" t="s">
        <v>133</v>
      </c>
      <c r="B64" s="85" t="s">
        <v>134</v>
      </c>
      <c r="C64" s="85"/>
      <c r="D64" s="85"/>
      <c r="E64" s="85"/>
      <c r="F64" s="85"/>
      <c r="G64" s="85"/>
      <c r="H64" s="85"/>
      <c r="I64" s="85"/>
      <c r="J64" s="85"/>
      <c r="K64" s="85"/>
      <c r="L64" s="71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1:22" s="78" customFormat="1" ht="23.25">
      <c r="A65" s="74" t="s">
        <v>135</v>
      </c>
      <c r="B65" s="120" t="s">
        <v>517</v>
      </c>
      <c r="C65" s="47" t="s">
        <v>741</v>
      </c>
      <c r="D65" s="75" t="s">
        <v>23</v>
      </c>
      <c r="E65" s="76">
        <v>7.48</v>
      </c>
      <c r="F65" s="41"/>
      <c r="G65" s="41"/>
      <c r="H65" s="41"/>
      <c r="I65" s="41"/>
      <c r="J65" s="77"/>
      <c r="K65" s="41"/>
      <c r="L65" s="71"/>
      <c r="M65" s="72"/>
      <c r="N65" s="72"/>
      <c r="O65" s="72"/>
      <c r="P65" s="72"/>
      <c r="Q65" s="72"/>
      <c r="R65" s="72"/>
      <c r="S65" s="72"/>
      <c r="T65" s="72"/>
      <c r="U65" s="72"/>
      <c r="V65" s="72"/>
    </row>
    <row r="66" spans="1:22" s="78" customFormat="1" ht="23.25">
      <c r="A66" s="74" t="s">
        <v>136</v>
      </c>
      <c r="B66" s="120" t="s">
        <v>519</v>
      </c>
      <c r="C66" s="47" t="s">
        <v>520</v>
      </c>
      <c r="D66" s="75" t="s">
        <v>23</v>
      </c>
      <c r="E66" s="41">
        <f>E65*1.005</f>
        <v>7.517399999999999</v>
      </c>
      <c r="F66" s="41"/>
      <c r="G66" s="41"/>
      <c r="H66" s="41"/>
      <c r="I66" s="41"/>
      <c r="J66" s="77"/>
      <c r="K66" s="41"/>
      <c r="L66" s="71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1:22" s="78" customFormat="1" ht="13.5">
      <c r="A67" s="74" t="s">
        <v>137</v>
      </c>
      <c r="B67" s="120">
        <v>72104</v>
      </c>
      <c r="C67" s="47" t="s">
        <v>521</v>
      </c>
      <c r="D67" s="75" t="s">
        <v>189</v>
      </c>
      <c r="E67" s="39">
        <f>(2.8+2.8)*1.005</f>
        <v>5.627999999999999</v>
      </c>
      <c r="F67" s="41"/>
      <c r="G67" s="41"/>
      <c r="H67" s="41"/>
      <c r="I67" s="41"/>
      <c r="J67" s="77"/>
      <c r="K67" s="41"/>
      <c r="L67" s="71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1:22" s="78" customFormat="1" ht="13.5">
      <c r="A68" s="74" t="s">
        <v>138</v>
      </c>
      <c r="B68" s="120">
        <v>72104</v>
      </c>
      <c r="C68" s="46" t="s">
        <v>523</v>
      </c>
      <c r="D68" s="75" t="s">
        <v>189</v>
      </c>
      <c r="E68" s="295">
        <v>1.7000000000000002</v>
      </c>
      <c r="F68" s="41"/>
      <c r="G68" s="41"/>
      <c r="H68" s="41"/>
      <c r="I68" s="41"/>
      <c r="J68" s="77"/>
      <c r="K68" s="41"/>
      <c r="L68" s="71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2" s="78" customFormat="1" ht="13.5">
      <c r="A69" s="74" t="s">
        <v>139</v>
      </c>
      <c r="B69" s="120">
        <v>72106</v>
      </c>
      <c r="C69" s="46" t="s">
        <v>522</v>
      </c>
      <c r="D69" s="75" t="s">
        <v>189</v>
      </c>
      <c r="E69" s="41">
        <f>(2.8*2)*1.005</f>
        <v>5.627999999999999</v>
      </c>
      <c r="F69" s="41"/>
      <c r="G69" s="41"/>
      <c r="H69" s="41"/>
      <c r="I69" s="41"/>
      <c r="J69" s="77"/>
      <c r="K69" s="41"/>
      <c r="L69" s="71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2" s="73" customFormat="1" ht="14.25">
      <c r="A70" s="79" t="s">
        <v>145</v>
      </c>
      <c r="B70" s="79"/>
      <c r="C70" s="79"/>
      <c r="D70" s="79"/>
      <c r="E70" s="79"/>
      <c r="F70" s="79"/>
      <c r="G70" s="79"/>
      <c r="H70" s="79"/>
      <c r="I70" s="79"/>
      <c r="J70" s="267"/>
      <c r="K70" s="267"/>
      <c r="L70" s="80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1:20" s="42" customFormat="1" ht="13.5">
      <c r="A71" s="37" t="s">
        <v>146</v>
      </c>
      <c r="B71" s="55" t="s">
        <v>147</v>
      </c>
      <c r="C71" s="55"/>
      <c r="D71" s="55"/>
      <c r="E71" s="55"/>
      <c r="F71" s="55"/>
      <c r="G71" s="55"/>
      <c r="H71" s="55"/>
      <c r="I71" s="55"/>
      <c r="J71" s="55"/>
      <c r="K71" s="55"/>
      <c r="L71" s="68"/>
      <c r="M71" s="36"/>
      <c r="N71" s="36"/>
      <c r="O71" s="36"/>
      <c r="P71" s="36"/>
      <c r="Q71" s="36"/>
      <c r="R71" s="36"/>
      <c r="S71" s="36"/>
      <c r="T71" s="36"/>
    </row>
    <row r="72" spans="1:20" s="91" customFormat="1" ht="14.25">
      <c r="A72" s="86" t="s">
        <v>148</v>
      </c>
      <c r="B72" s="202" t="s">
        <v>524</v>
      </c>
      <c r="C72" s="271" t="s">
        <v>525</v>
      </c>
      <c r="D72" s="272" t="s">
        <v>189</v>
      </c>
      <c r="E72" s="88">
        <v>42.63</v>
      </c>
      <c r="F72" s="271"/>
      <c r="G72" s="83"/>
      <c r="H72" s="271"/>
      <c r="I72" s="83"/>
      <c r="J72" s="83"/>
      <c r="K72" s="83"/>
      <c r="L72" s="90"/>
      <c r="M72" s="90"/>
      <c r="N72" s="90"/>
      <c r="O72" s="90"/>
      <c r="P72" s="90"/>
      <c r="Q72" s="90"/>
      <c r="R72" s="90"/>
      <c r="S72" s="90"/>
      <c r="T72" s="90"/>
    </row>
    <row r="73" spans="1:20" s="91" customFormat="1" ht="14.25">
      <c r="A73" s="86" t="s">
        <v>149</v>
      </c>
      <c r="B73" s="203"/>
      <c r="C73" s="230" t="s">
        <v>530</v>
      </c>
      <c r="D73" s="177" t="s">
        <v>391</v>
      </c>
      <c r="E73" s="41">
        <v>9</v>
      </c>
      <c r="F73" s="41"/>
      <c r="G73" s="41"/>
      <c r="H73" s="41"/>
      <c r="I73" s="41"/>
      <c r="J73" s="41"/>
      <c r="K73" s="83"/>
      <c r="L73" s="90"/>
      <c r="M73" s="90"/>
      <c r="N73" s="90"/>
      <c r="O73" s="90"/>
      <c r="P73" s="90"/>
      <c r="Q73" s="90"/>
      <c r="R73" s="90"/>
      <c r="S73" s="90"/>
      <c r="T73" s="90"/>
    </row>
    <row r="74" spans="1:20" s="91" customFormat="1" ht="14.25">
      <c r="A74" s="86" t="s">
        <v>150</v>
      </c>
      <c r="B74" s="203"/>
      <c r="C74" s="204" t="s">
        <v>531</v>
      </c>
      <c r="D74" s="177" t="s">
        <v>391</v>
      </c>
      <c r="E74" s="205">
        <v>3</v>
      </c>
      <c r="F74" s="41"/>
      <c r="G74" s="41"/>
      <c r="H74" s="206"/>
      <c r="I74" s="41"/>
      <c r="J74" s="41"/>
      <c r="K74" s="83"/>
      <c r="L74" s="90"/>
      <c r="M74" s="90"/>
      <c r="N74" s="90"/>
      <c r="O74" s="90"/>
      <c r="P74" s="90"/>
      <c r="Q74" s="90"/>
      <c r="R74" s="90"/>
      <c r="S74" s="90"/>
      <c r="T74" s="90"/>
    </row>
    <row r="75" spans="1:20" s="91" customFormat="1" ht="14.25">
      <c r="A75" s="86" t="s">
        <v>151</v>
      </c>
      <c r="B75" s="203"/>
      <c r="C75" s="230" t="s">
        <v>532</v>
      </c>
      <c r="D75" s="177" t="s">
        <v>189</v>
      </c>
      <c r="E75" s="41">
        <v>34.81</v>
      </c>
      <c r="F75" s="41"/>
      <c r="G75" s="41"/>
      <c r="H75" s="41"/>
      <c r="I75" s="41"/>
      <c r="J75" s="41"/>
      <c r="K75" s="83"/>
      <c r="L75" s="90"/>
      <c r="M75" s="90"/>
      <c r="N75" s="90"/>
      <c r="O75" s="90"/>
      <c r="P75" s="90"/>
      <c r="Q75" s="90"/>
      <c r="R75" s="90"/>
      <c r="S75" s="90"/>
      <c r="T75" s="90"/>
    </row>
    <row r="76" spans="1:20" s="91" customFormat="1" ht="14.25">
      <c r="A76" s="86" t="s">
        <v>152</v>
      </c>
      <c r="B76" s="203"/>
      <c r="C76" s="230" t="s">
        <v>535</v>
      </c>
      <c r="D76" s="177" t="s">
        <v>391</v>
      </c>
      <c r="E76" s="41">
        <v>5</v>
      </c>
      <c r="F76" s="41"/>
      <c r="G76" s="41"/>
      <c r="H76" s="41"/>
      <c r="I76" s="41"/>
      <c r="J76" s="41"/>
      <c r="K76" s="83"/>
      <c r="L76" s="90"/>
      <c r="M76" s="90"/>
      <c r="N76" s="90"/>
      <c r="O76" s="90"/>
      <c r="P76" s="90"/>
      <c r="Q76" s="90"/>
      <c r="R76" s="90"/>
      <c r="S76" s="90"/>
      <c r="T76" s="90"/>
    </row>
    <row r="77" spans="1:20" s="91" customFormat="1" ht="14.25">
      <c r="A77" s="86" t="s">
        <v>153</v>
      </c>
      <c r="B77" s="203"/>
      <c r="C77" s="230" t="s">
        <v>538</v>
      </c>
      <c r="D77" s="177" t="s">
        <v>391</v>
      </c>
      <c r="E77" s="41">
        <v>2</v>
      </c>
      <c r="F77" s="41"/>
      <c r="G77" s="41"/>
      <c r="H77" s="41"/>
      <c r="I77" s="41"/>
      <c r="J77" s="41"/>
      <c r="K77" s="83"/>
      <c r="L77" s="90"/>
      <c r="M77" s="90"/>
      <c r="N77" s="90"/>
      <c r="O77" s="90"/>
      <c r="P77" s="90"/>
      <c r="Q77" s="90"/>
      <c r="R77" s="90"/>
      <c r="S77" s="90"/>
      <c r="T77" s="90"/>
    </row>
    <row r="78" spans="1:20" s="91" customFormat="1" ht="14.25">
      <c r="A78" s="86" t="s">
        <v>154</v>
      </c>
      <c r="B78" s="203"/>
      <c r="C78" s="211" t="s">
        <v>542</v>
      </c>
      <c r="D78" s="177" t="s">
        <v>391</v>
      </c>
      <c r="E78" s="41">
        <v>1</v>
      </c>
      <c r="F78" s="211"/>
      <c r="G78" s="41"/>
      <c r="H78" s="41"/>
      <c r="I78" s="41"/>
      <c r="J78" s="41"/>
      <c r="K78" s="83"/>
      <c r="L78" s="90"/>
      <c r="M78" s="90"/>
      <c r="N78" s="90"/>
      <c r="O78" s="90"/>
      <c r="P78" s="90"/>
      <c r="Q78" s="90"/>
      <c r="R78" s="90"/>
      <c r="S78" s="90"/>
      <c r="T78" s="90"/>
    </row>
    <row r="79" spans="1:20" s="91" customFormat="1" ht="14.25">
      <c r="A79" s="86" t="s">
        <v>155</v>
      </c>
      <c r="B79" s="203"/>
      <c r="C79" s="211" t="s">
        <v>544</v>
      </c>
      <c r="D79" s="177" t="s">
        <v>391</v>
      </c>
      <c r="E79" s="41">
        <v>3</v>
      </c>
      <c r="F79" s="211"/>
      <c r="G79" s="41"/>
      <c r="H79" s="211"/>
      <c r="I79" s="41"/>
      <c r="J79" s="41"/>
      <c r="K79" s="83"/>
      <c r="L79" s="90"/>
      <c r="M79" s="90"/>
      <c r="N79" s="90"/>
      <c r="O79" s="90"/>
      <c r="P79" s="90"/>
      <c r="Q79" s="90"/>
      <c r="R79" s="90"/>
      <c r="S79" s="90"/>
      <c r="T79" s="90"/>
    </row>
    <row r="80" spans="1:20" s="91" customFormat="1" ht="14.25">
      <c r="A80" s="86" t="s">
        <v>156</v>
      </c>
      <c r="B80" s="203"/>
      <c r="C80" s="211" t="s">
        <v>874</v>
      </c>
      <c r="D80" s="177" t="s">
        <v>391</v>
      </c>
      <c r="E80" s="41">
        <v>4</v>
      </c>
      <c r="F80" s="211"/>
      <c r="G80" s="41"/>
      <c r="H80" s="211"/>
      <c r="I80" s="41"/>
      <c r="J80" s="41"/>
      <c r="K80" s="83"/>
      <c r="L80" s="90"/>
      <c r="M80" s="90"/>
      <c r="N80" s="90"/>
      <c r="O80" s="90"/>
      <c r="P80" s="90"/>
      <c r="Q80" s="90"/>
      <c r="R80" s="90"/>
      <c r="S80" s="90"/>
      <c r="T80" s="90"/>
    </row>
    <row r="81" spans="1:20" s="91" customFormat="1" ht="14.25">
      <c r="A81" s="86" t="s">
        <v>157</v>
      </c>
      <c r="B81" s="214" t="s">
        <v>546</v>
      </c>
      <c r="C81" s="211" t="s">
        <v>547</v>
      </c>
      <c r="D81" s="177" t="s">
        <v>391</v>
      </c>
      <c r="E81" s="41">
        <v>2</v>
      </c>
      <c r="F81" s="41"/>
      <c r="G81" s="41"/>
      <c r="H81" s="211"/>
      <c r="I81" s="41"/>
      <c r="J81" s="41"/>
      <c r="K81" s="83"/>
      <c r="L81" s="90"/>
      <c r="M81" s="90"/>
      <c r="N81" s="90"/>
      <c r="O81" s="90"/>
      <c r="P81" s="90"/>
      <c r="Q81" s="90"/>
      <c r="R81" s="90"/>
      <c r="S81" s="90"/>
      <c r="T81" s="90"/>
    </row>
    <row r="82" spans="1:20" s="91" customFormat="1" ht="14.25">
      <c r="A82" s="86" t="s">
        <v>537</v>
      </c>
      <c r="B82" s="214" t="s">
        <v>546</v>
      </c>
      <c r="C82" s="211" t="s">
        <v>750</v>
      </c>
      <c r="D82" s="177" t="s">
        <v>391</v>
      </c>
      <c r="E82" s="41">
        <v>2</v>
      </c>
      <c r="F82" s="41"/>
      <c r="G82" s="41"/>
      <c r="H82" s="211"/>
      <c r="I82" s="41"/>
      <c r="J82" s="41"/>
      <c r="K82" s="83"/>
      <c r="L82" s="90"/>
      <c r="M82" s="90"/>
      <c r="N82" s="90"/>
      <c r="O82" s="90"/>
      <c r="P82" s="90"/>
      <c r="Q82" s="90"/>
      <c r="R82" s="90"/>
      <c r="S82" s="90"/>
      <c r="T82" s="90"/>
    </row>
    <row r="83" spans="1:20" s="91" customFormat="1" ht="14.25">
      <c r="A83" s="86" t="s">
        <v>539</v>
      </c>
      <c r="B83" s="203"/>
      <c r="C83" s="211" t="s">
        <v>556</v>
      </c>
      <c r="D83" s="177" t="s">
        <v>391</v>
      </c>
      <c r="E83" s="41">
        <v>1</v>
      </c>
      <c r="F83" s="41"/>
      <c r="G83" s="41"/>
      <c r="H83" s="211"/>
      <c r="I83" s="41"/>
      <c r="J83" s="41"/>
      <c r="K83" s="83"/>
      <c r="L83" s="90"/>
      <c r="M83" s="90"/>
      <c r="N83" s="90"/>
      <c r="O83" s="90"/>
      <c r="P83" s="90"/>
      <c r="Q83" s="90"/>
      <c r="R83" s="90"/>
      <c r="S83" s="90"/>
      <c r="T83" s="90"/>
    </row>
    <row r="84" spans="1:20" s="42" customFormat="1" ht="13.5">
      <c r="A84" s="86" t="s">
        <v>541</v>
      </c>
      <c r="B84" s="56"/>
      <c r="C84" s="211" t="s">
        <v>875</v>
      </c>
      <c r="D84" s="177" t="s">
        <v>391</v>
      </c>
      <c r="E84" s="41">
        <v>1</v>
      </c>
      <c r="F84" s="41"/>
      <c r="G84" s="41"/>
      <c r="H84" s="211"/>
      <c r="I84" s="41"/>
      <c r="J84" s="41"/>
      <c r="K84" s="83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4.25" customHeight="1">
      <c r="A85" s="67" t="s">
        <v>158</v>
      </c>
      <c r="B85" s="67"/>
      <c r="C85" s="67"/>
      <c r="D85" s="67"/>
      <c r="E85" s="67"/>
      <c r="F85" s="67"/>
      <c r="G85" s="67"/>
      <c r="H85" s="67"/>
      <c r="I85" s="67"/>
      <c r="J85" s="267"/>
      <c r="K85" s="260"/>
      <c r="L85" s="36"/>
      <c r="M85" s="36"/>
      <c r="N85" s="36"/>
      <c r="O85" s="36"/>
      <c r="P85" s="36"/>
      <c r="Q85" s="36"/>
      <c r="R85" s="36"/>
      <c r="S85" s="36"/>
      <c r="T85" s="36"/>
    </row>
    <row r="86" spans="1:20" s="42" customFormat="1" ht="13.5" customHeight="1">
      <c r="A86" s="34" t="s">
        <v>159</v>
      </c>
      <c r="B86" s="95" t="s">
        <v>160</v>
      </c>
      <c r="C86" s="95"/>
      <c r="D86" s="95"/>
      <c r="E86" s="95"/>
      <c r="F86" s="95"/>
      <c r="G86" s="95"/>
      <c r="H86" s="95"/>
      <c r="I86" s="95"/>
      <c r="J86" s="95"/>
      <c r="K86" s="95"/>
      <c r="L86" s="36"/>
      <c r="M86" s="36"/>
      <c r="N86" s="36"/>
      <c r="O86" s="36"/>
      <c r="P86" s="36"/>
      <c r="Q86" s="36"/>
      <c r="R86" s="36"/>
      <c r="S86" s="36"/>
      <c r="T86" s="36"/>
    </row>
    <row r="87" spans="1:20" s="42" customFormat="1" ht="13.5">
      <c r="A87" s="37" t="s">
        <v>161</v>
      </c>
      <c r="B87" s="37"/>
      <c r="C87" s="204" t="s">
        <v>560</v>
      </c>
      <c r="D87" s="281" t="s">
        <v>189</v>
      </c>
      <c r="E87" s="218">
        <v>18.2</v>
      </c>
      <c r="F87" s="41"/>
      <c r="G87" s="41"/>
      <c r="H87" s="41"/>
      <c r="I87" s="41"/>
      <c r="J87" s="41"/>
      <c r="K87" s="83"/>
      <c r="L87" s="36"/>
      <c r="M87" s="36"/>
      <c r="N87" s="36"/>
      <c r="O87" s="36"/>
      <c r="P87" s="36"/>
      <c r="Q87" s="36"/>
      <c r="R87" s="36"/>
      <c r="S87" s="36"/>
      <c r="T87" s="36"/>
    </row>
    <row r="88" spans="1:20" s="42" customFormat="1" ht="13.5">
      <c r="A88" s="37" t="s">
        <v>162</v>
      </c>
      <c r="B88" s="37"/>
      <c r="C88" s="204" t="s">
        <v>561</v>
      </c>
      <c r="D88" s="177" t="s">
        <v>391</v>
      </c>
      <c r="E88" s="218">
        <v>3</v>
      </c>
      <c r="F88" s="206"/>
      <c r="G88" s="41"/>
      <c r="H88" s="206"/>
      <c r="I88" s="41"/>
      <c r="J88" s="41"/>
      <c r="K88" s="83"/>
      <c r="L88" s="36"/>
      <c r="M88" s="36"/>
      <c r="N88" s="36"/>
      <c r="O88" s="36"/>
      <c r="P88" s="36"/>
      <c r="Q88" s="36"/>
      <c r="R88" s="36"/>
      <c r="S88" s="36"/>
      <c r="T88" s="36"/>
    </row>
    <row r="89" spans="1:20" s="42" customFormat="1" ht="13.5">
      <c r="A89" s="37" t="s">
        <v>163</v>
      </c>
      <c r="B89" s="37"/>
      <c r="C89" s="204" t="s">
        <v>562</v>
      </c>
      <c r="D89" s="177" t="s">
        <v>391</v>
      </c>
      <c r="E89" s="218">
        <v>2</v>
      </c>
      <c r="F89" s="206"/>
      <c r="G89" s="41"/>
      <c r="H89" s="206"/>
      <c r="I89" s="41"/>
      <c r="J89" s="41"/>
      <c r="K89" s="83"/>
      <c r="L89" s="36"/>
      <c r="M89" s="36"/>
      <c r="N89" s="36"/>
      <c r="O89" s="36"/>
      <c r="P89" s="36"/>
      <c r="Q89" s="36"/>
      <c r="R89" s="36"/>
      <c r="S89" s="36"/>
      <c r="T89" s="36"/>
    </row>
    <row r="90" spans="1:20" s="42" customFormat="1" ht="23.25">
      <c r="A90" s="37" t="s">
        <v>164</v>
      </c>
      <c r="B90" s="37"/>
      <c r="C90" s="277" t="s">
        <v>563</v>
      </c>
      <c r="D90" s="283" t="s">
        <v>391</v>
      </c>
      <c r="E90" s="218">
        <v>1</v>
      </c>
      <c r="F90" s="206"/>
      <c r="G90" s="220"/>
      <c r="H90" s="206"/>
      <c r="I90" s="220"/>
      <c r="J90" s="220"/>
      <c r="K90" s="83"/>
      <c r="L90" s="36"/>
      <c r="M90" s="36"/>
      <c r="N90" s="36"/>
      <c r="O90" s="36"/>
      <c r="P90" s="36"/>
      <c r="Q90" s="36"/>
      <c r="R90" s="36"/>
      <c r="S90" s="36"/>
      <c r="T90" s="36"/>
    </row>
    <row r="91" spans="1:20" s="42" customFormat="1" ht="13.5">
      <c r="A91" s="37" t="s">
        <v>165</v>
      </c>
      <c r="B91" s="37"/>
      <c r="C91" s="204" t="s">
        <v>564</v>
      </c>
      <c r="D91" s="281" t="s">
        <v>189</v>
      </c>
      <c r="E91" s="218">
        <v>36.4</v>
      </c>
      <c r="F91" s="206"/>
      <c r="G91" s="41"/>
      <c r="H91" s="206"/>
      <c r="I91" s="41"/>
      <c r="J91" s="41"/>
      <c r="K91" s="83"/>
      <c r="L91" s="36"/>
      <c r="M91" s="36"/>
      <c r="N91" s="36"/>
      <c r="O91" s="36"/>
      <c r="P91" s="36"/>
      <c r="Q91" s="36"/>
      <c r="R91" s="36"/>
      <c r="S91" s="36"/>
      <c r="T91" s="36"/>
    </row>
    <row r="92" spans="1:20" s="42" customFormat="1" ht="13.5">
      <c r="A92" s="37" t="s">
        <v>166</v>
      </c>
      <c r="B92" s="37"/>
      <c r="C92" s="313" t="s">
        <v>565</v>
      </c>
      <c r="D92" s="314" t="s">
        <v>189</v>
      </c>
      <c r="E92" s="223">
        <v>46.4</v>
      </c>
      <c r="F92" s="315"/>
      <c r="G92" s="41"/>
      <c r="H92" s="315"/>
      <c r="I92" s="41"/>
      <c r="J92" s="41"/>
      <c r="K92" s="83"/>
      <c r="L92" s="36"/>
      <c r="M92" s="36"/>
      <c r="N92" s="36"/>
      <c r="O92" s="36"/>
      <c r="P92" s="36"/>
      <c r="Q92" s="36"/>
      <c r="R92" s="36"/>
      <c r="S92" s="36"/>
      <c r="T92" s="36"/>
    </row>
    <row r="93" spans="1:20" s="42" customFormat="1" ht="13.5">
      <c r="A93" s="37" t="s">
        <v>167</v>
      </c>
      <c r="B93" s="37"/>
      <c r="C93" s="230" t="s">
        <v>530</v>
      </c>
      <c r="D93" s="177" t="s">
        <v>391</v>
      </c>
      <c r="E93" s="178">
        <v>4</v>
      </c>
      <c r="F93" s="41"/>
      <c r="G93" s="41"/>
      <c r="H93" s="41"/>
      <c r="I93" s="41"/>
      <c r="J93" s="41"/>
      <c r="K93" s="83"/>
      <c r="L93" s="36"/>
      <c r="M93" s="36"/>
      <c r="N93" s="36"/>
      <c r="O93" s="36"/>
      <c r="P93" s="36"/>
      <c r="Q93" s="36"/>
      <c r="R93" s="36"/>
      <c r="S93" s="36"/>
      <c r="T93" s="36"/>
    </row>
    <row r="94" spans="1:20" s="42" customFormat="1" ht="13.5">
      <c r="A94" s="100" t="s">
        <v>171</v>
      </c>
      <c r="B94" s="100"/>
      <c r="C94" s="100"/>
      <c r="D94" s="100"/>
      <c r="E94" s="100"/>
      <c r="F94" s="100"/>
      <c r="G94" s="100"/>
      <c r="H94" s="100"/>
      <c r="I94" s="100"/>
      <c r="J94" s="320"/>
      <c r="K94" s="320"/>
      <c r="L94" s="36"/>
      <c r="M94" s="36"/>
      <c r="N94" s="36"/>
      <c r="O94" s="36"/>
      <c r="P94" s="36"/>
      <c r="Q94" s="36"/>
      <c r="R94" s="36"/>
      <c r="S94" s="36"/>
      <c r="T94" s="36"/>
    </row>
    <row r="95" spans="1:20" s="42" customFormat="1" ht="13.5">
      <c r="A95" s="34" t="s">
        <v>172</v>
      </c>
      <c r="B95" s="55" t="s">
        <v>173</v>
      </c>
      <c r="C95" s="55"/>
      <c r="D95" s="55"/>
      <c r="E95" s="55"/>
      <c r="F95" s="55"/>
      <c r="G95" s="55"/>
      <c r="H95" s="55"/>
      <c r="I95" s="55"/>
      <c r="J95" s="55"/>
      <c r="K95" s="55"/>
      <c r="L95" s="36"/>
      <c r="M95" s="36"/>
      <c r="N95" s="278"/>
      <c r="O95" s="228"/>
      <c r="P95" s="36"/>
      <c r="Q95" s="36"/>
      <c r="R95" s="36"/>
      <c r="S95" s="36"/>
      <c r="T95" s="36"/>
    </row>
    <row r="96" spans="1:20" s="42" customFormat="1" ht="13.5">
      <c r="A96" s="37" t="s">
        <v>174</v>
      </c>
      <c r="B96" s="210" t="s">
        <v>194</v>
      </c>
      <c r="C96" s="211" t="s">
        <v>566</v>
      </c>
      <c r="D96" s="177" t="s">
        <v>189</v>
      </c>
      <c r="E96" s="41">
        <v>24.4</v>
      </c>
      <c r="F96" s="41"/>
      <c r="G96" s="41"/>
      <c r="H96" s="41"/>
      <c r="I96" s="41"/>
      <c r="J96" s="41"/>
      <c r="K96" s="83"/>
      <c r="L96" s="36"/>
      <c r="M96" s="36"/>
      <c r="N96" s="278"/>
      <c r="O96" s="228"/>
      <c r="P96" s="36"/>
      <c r="Q96" s="36"/>
      <c r="R96" s="36"/>
      <c r="S96" s="36"/>
      <c r="T96" s="36"/>
    </row>
    <row r="97" spans="1:20" s="42" customFormat="1" ht="13.5">
      <c r="A97" s="37" t="s">
        <v>175</v>
      </c>
      <c r="B97" s="210" t="s">
        <v>569</v>
      </c>
      <c r="C97" s="211" t="s">
        <v>570</v>
      </c>
      <c r="D97" s="177" t="s">
        <v>189</v>
      </c>
      <c r="E97" s="41">
        <v>7.4</v>
      </c>
      <c r="F97" s="41"/>
      <c r="G97" s="41"/>
      <c r="H97" s="41"/>
      <c r="I97" s="41"/>
      <c r="J97" s="41"/>
      <c r="K97" s="83"/>
      <c r="L97" s="36"/>
      <c r="M97" s="36"/>
      <c r="N97" s="278"/>
      <c r="O97" s="228"/>
      <c r="P97" s="36"/>
      <c r="Q97" s="36"/>
      <c r="R97" s="36"/>
      <c r="S97" s="36"/>
      <c r="T97" s="36"/>
    </row>
    <row r="98" spans="1:20" s="42" customFormat="1" ht="13.5">
      <c r="A98" s="37" t="s">
        <v>176</v>
      </c>
      <c r="B98" s="210" t="s">
        <v>573</v>
      </c>
      <c r="C98" s="211" t="s">
        <v>574</v>
      </c>
      <c r="D98" s="177" t="s">
        <v>189</v>
      </c>
      <c r="E98" s="41">
        <v>13</v>
      </c>
      <c r="F98" s="41"/>
      <c r="G98" s="41"/>
      <c r="H98" s="41"/>
      <c r="I98" s="41"/>
      <c r="J98" s="41"/>
      <c r="K98" s="83"/>
      <c r="L98" s="36"/>
      <c r="M98" s="36"/>
      <c r="N98" s="278"/>
      <c r="O98" s="228"/>
      <c r="P98" s="36"/>
      <c r="Q98" s="36"/>
      <c r="R98" s="36"/>
      <c r="S98" s="36"/>
      <c r="T98" s="36"/>
    </row>
    <row r="99" spans="1:20" s="42" customFormat="1" ht="13.5">
      <c r="A99" s="37" t="s">
        <v>177</v>
      </c>
      <c r="B99" s="210" t="s">
        <v>579</v>
      </c>
      <c r="C99" s="211" t="s">
        <v>580</v>
      </c>
      <c r="D99" s="177" t="s">
        <v>189</v>
      </c>
      <c r="E99" s="41">
        <v>5.8</v>
      </c>
      <c r="F99" s="41"/>
      <c r="G99" s="41"/>
      <c r="H99" s="41"/>
      <c r="I99" s="41"/>
      <c r="J99" s="41"/>
      <c r="K99" s="83"/>
      <c r="L99" s="36"/>
      <c r="M99" s="36"/>
      <c r="N99" s="278"/>
      <c r="O99" s="228"/>
      <c r="P99" s="36"/>
      <c r="Q99" s="36"/>
      <c r="R99" s="36"/>
      <c r="S99" s="36"/>
      <c r="T99" s="36"/>
    </row>
    <row r="100" spans="1:20" s="42" customFormat="1" ht="13.5">
      <c r="A100" s="37" t="s">
        <v>178</v>
      </c>
      <c r="B100" s="210">
        <v>72557</v>
      </c>
      <c r="C100" s="211" t="s">
        <v>581</v>
      </c>
      <c r="D100" s="177" t="s">
        <v>391</v>
      </c>
      <c r="E100" s="41">
        <v>2</v>
      </c>
      <c r="F100" s="41"/>
      <c r="G100" s="41"/>
      <c r="H100" s="41"/>
      <c r="I100" s="41"/>
      <c r="J100" s="41"/>
      <c r="K100" s="83"/>
      <c r="L100" s="36"/>
      <c r="M100" s="36"/>
      <c r="N100" s="321"/>
      <c r="O100" s="228"/>
      <c r="P100" s="36"/>
      <c r="Q100" s="36"/>
      <c r="R100" s="36"/>
      <c r="S100" s="36"/>
      <c r="T100" s="36"/>
    </row>
    <row r="101" spans="1:20" s="42" customFormat="1" ht="13.5">
      <c r="A101" s="37" t="s">
        <v>179</v>
      </c>
      <c r="B101" s="202">
        <v>72560</v>
      </c>
      <c r="C101" s="211" t="s">
        <v>585</v>
      </c>
      <c r="D101" s="177" t="s">
        <v>391</v>
      </c>
      <c r="E101" s="41">
        <v>3</v>
      </c>
      <c r="F101" s="41"/>
      <c r="G101" s="41"/>
      <c r="H101" s="41"/>
      <c r="I101" s="41"/>
      <c r="J101" s="41"/>
      <c r="K101" s="83"/>
      <c r="L101" s="36"/>
      <c r="M101" s="36"/>
      <c r="N101" s="321"/>
      <c r="O101" s="228"/>
      <c r="P101" s="36"/>
      <c r="Q101" s="36"/>
      <c r="R101" s="36"/>
      <c r="S101" s="36"/>
      <c r="T101" s="36"/>
    </row>
    <row r="102" spans="1:20" s="42" customFormat="1" ht="13.5">
      <c r="A102" s="37" t="s">
        <v>180</v>
      </c>
      <c r="B102" s="202">
        <v>72573</v>
      </c>
      <c r="C102" s="211" t="s">
        <v>587</v>
      </c>
      <c r="D102" s="177" t="s">
        <v>391</v>
      </c>
      <c r="E102" s="41">
        <v>4</v>
      </c>
      <c r="F102" s="41"/>
      <c r="G102" s="41"/>
      <c r="H102" s="41"/>
      <c r="I102" s="41"/>
      <c r="J102" s="41"/>
      <c r="K102" s="83"/>
      <c r="L102" s="36"/>
      <c r="M102" s="36"/>
      <c r="N102" s="278"/>
      <c r="O102" s="228"/>
      <c r="P102" s="36"/>
      <c r="Q102" s="36"/>
      <c r="R102" s="36"/>
      <c r="S102" s="36"/>
      <c r="T102" s="36"/>
    </row>
    <row r="103" spans="1:20" s="42" customFormat="1" ht="13.5">
      <c r="A103" s="37" t="s">
        <v>181</v>
      </c>
      <c r="B103" s="202">
        <v>72580</v>
      </c>
      <c r="C103" s="211" t="s">
        <v>589</v>
      </c>
      <c r="D103" s="177" t="s">
        <v>391</v>
      </c>
      <c r="E103" s="41">
        <v>2</v>
      </c>
      <c r="F103" s="41"/>
      <c r="G103" s="41"/>
      <c r="H103" s="41"/>
      <c r="I103" s="41"/>
      <c r="J103" s="41"/>
      <c r="K103" s="83"/>
      <c r="L103" s="36"/>
      <c r="M103" s="36"/>
      <c r="N103" s="278"/>
      <c r="O103" s="228"/>
      <c r="P103" s="36"/>
      <c r="Q103" s="36"/>
      <c r="R103" s="36"/>
      <c r="S103" s="36"/>
      <c r="T103" s="36"/>
    </row>
    <row r="104" spans="1:20" s="42" customFormat="1" ht="13.5">
      <c r="A104" s="37" t="s">
        <v>182</v>
      </c>
      <c r="B104" s="37"/>
      <c r="C104" s="211" t="s">
        <v>763</v>
      </c>
      <c r="D104" s="177" t="s">
        <v>391</v>
      </c>
      <c r="E104" s="41">
        <v>1</v>
      </c>
      <c r="F104" s="41"/>
      <c r="G104" s="41"/>
      <c r="H104" s="41"/>
      <c r="I104" s="41"/>
      <c r="J104" s="41"/>
      <c r="K104" s="83"/>
      <c r="L104" s="36"/>
      <c r="M104" s="36"/>
      <c r="N104" s="269"/>
      <c r="O104" s="228"/>
      <c r="P104" s="36"/>
      <c r="Q104" s="36"/>
      <c r="R104" s="36"/>
      <c r="S104" s="36"/>
      <c r="T104" s="36"/>
    </row>
    <row r="105" spans="1:20" s="42" customFormat="1" ht="13.5">
      <c r="A105" s="37" t="s">
        <v>183</v>
      </c>
      <c r="B105" s="37"/>
      <c r="C105" s="211" t="s">
        <v>591</v>
      </c>
      <c r="D105" s="177" t="s">
        <v>391</v>
      </c>
      <c r="E105" s="41">
        <v>2</v>
      </c>
      <c r="F105" s="41"/>
      <c r="G105" s="41"/>
      <c r="H105" s="41"/>
      <c r="I105" s="41"/>
      <c r="J105" s="41"/>
      <c r="K105" s="83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s="42" customFormat="1" ht="13.5">
      <c r="A106" s="37" t="s">
        <v>184</v>
      </c>
      <c r="B106" s="37"/>
      <c r="C106" s="211" t="s">
        <v>595</v>
      </c>
      <c r="D106" s="177" t="s">
        <v>391</v>
      </c>
      <c r="E106" s="41">
        <v>2</v>
      </c>
      <c r="F106" s="41"/>
      <c r="G106" s="41"/>
      <c r="H106" s="41"/>
      <c r="I106" s="41"/>
      <c r="J106" s="41"/>
      <c r="K106" s="83"/>
      <c r="L106" s="36"/>
      <c r="M106" s="36"/>
      <c r="N106" s="278"/>
      <c r="O106" s="228"/>
      <c r="P106" s="36"/>
      <c r="Q106" s="36"/>
      <c r="R106" s="36"/>
      <c r="S106" s="36"/>
      <c r="T106" s="36"/>
    </row>
    <row r="107" spans="1:20" s="42" customFormat="1" ht="13.5">
      <c r="A107" s="37" t="s">
        <v>226</v>
      </c>
      <c r="B107" s="37"/>
      <c r="C107" s="211" t="s">
        <v>597</v>
      </c>
      <c r="D107" s="177" t="s">
        <v>391</v>
      </c>
      <c r="E107" s="41">
        <v>1</v>
      </c>
      <c r="F107" s="41"/>
      <c r="G107" s="41"/>
      <c r="H107" s="41"/>
      <c r="I107" s="41"/>
      <c r="J107" s="41"/>
      <c r="K107" s="83"/>
      <c r="L107" s="36"/>
      <c r="M107" s="36"/>
      <c r="N107" s="278"/>
      <c r="O107" s="228"/>
      <c r="P107" s="36"/>
      <c r="Q107" s="36"/>
      <c r="R107" s="36"/>
      <c r="S107" s="36"/>
      <c r="T107" s="36"/>
    </row>
    <row r="108" spans="1:20" s="42" customFormat="1" ht="13.5">
      <c r="A108" s="37" t="s">
        <v>236</v>
      </c>
      <c r="B108" s="37"/>
      <c r="C108" s="211" t="s">
        <v>605</v>
      </c>
      <c r="D108" s="177" t="s">
        <v>391</v>
      </c>
      <c r="E108" s="41">
        <v>1</v>
      </c>
      <c r="F108" s="41"/>
      <c r="G108" s="41"/>
      <c r="H108" s="41"/>
      <c r="I108" s="41"/>
      <c r="J108" s="41"/>
      <c r="K108" s="83"/>
      <c r="L108" s="36"/>
      <c r="M108" s="36"/>
      <c r="N108" s="278"/>
      <c r="O108" s="228"/>
      <c r="P108" s="36"/>
      <c r="Q108" s="36"/>
      <c r="R108" s="36"/>
      <c r="S108" s="36"/>
      <c r="T108" s="36"/>
    </row>
    <row r="109" spans="1:20" s="42" customFormat="1" ht="13.5">
      <c r="A109" s="37" t="s">
        <v>586</v>
      </c>
      <c r="B109" s="37"/>
      <c r="C109" s="230" t="s">
        <v>772</v>
      </c>
      <c r="D109" s="177" t="s">
        <v>391</v>
      </c>
      <c r="E109" s="135">
        <v>1</v>
      </c>
      <c r="F109" s="41"/>
      <c r="G109" s="41"/>
      <c r="H109" s="41"/>
      <c r="I109" s="41"/>
      <c r="J109" s="41"/>
      <c r="K109" s="83"/>
      <c r="L109" s="36"/>
      <c r="M109" s="36"/>
      <c r="N109" s="269"/>
      <c r="O109" s="228"/>
      <c r="P109" s="36"/>
      <c r="Q109" s="36"/>
      <c r="R109" s="36"/>
      <c r="S109" s="36"/>
      <c r="T109" s="36"/>
    </row>
    <row r="110" spans="1:20" s="42" customFormat="1" ht="13.5">
      <c r="A110" s="37" t="s">
        <v>588</v>
      </c>
      <c r="B110" s="231" t="s">
        <v>611</v>
      </c>
      <c r="C110" s="230" t="s">
        <v>609</v>
      </c>
      <c r="D110" s="177" t="s">
        <v>391</v>
      </c>
      <c r="E110" s="135">
        <v>1</v>
      </c>
      <c r="F110" s="41"/>
      <c r="G110" s="41"/>
      <c r="H110" s="41"/>
      <c r="I110" s="41"/>
      <c r="J110" s="41"/>
      <c r="K110" s="83"/>
      <c r="L110" s="36"/>
      <c r="M110" s="36"/>
      <c r="N110" s="269"/>
      <c r="O110" s="228"/>
      <c r="P110" s="36"/>
      <c r="Q110" s="36"/>
      <c r="R110" s="36"/>
      <c r="S110" s="36"/>
      <c r="T110" s="36"/>
    </row>
    <row r="111" spans="1:20" s="42" customFormat="1" ht="13.5">
      <c r="A111" s="37" t="s">
        <v>590</v>
      </c>
      <c r="B111" s="37"/>
      <c r="C111" s="211" t="s">
        <v>614</v>
      </c>
      <c r="D111" s="177" t="s">
        <v>391</v>
      </c>
      <c r="E111" s="41">
        <v>1</v>
      </c>
      <c r="F111" s="41"/>
      <c r="G111" s="41"/>
      <c r="H111" s="41"/>
      <c r="I111" s="41"/>
      <c r="J111" s="41"/>
      <c r="K111" s="83"/>
      <c r="L111" s="36"/>
      <c r="M111" s="36"/>
      <c r="N111" s="269"/>
      <c r="O111" s="228"/>
      <c r="P111" s="36"/>
      <c r="Q111" s="36"/>
      <c r="R111" s="36"/>
      <c r="S111" s="36"/>
      <c r="T111" s="36"/>
    </row>
    <row r="112" spans="1:20" s="42" customFormat="1" ht="13.5">
      <c r="A112" s="37" t="s">
        <v>592</v>
      </c>
      <c r="B112" s="37"/>
      <c r="C112" s="211" t="s">
        <v>620</v>
      </c>
      <c r="D112" s="177" t="s">
        <v>391</v>
      </c>
      <c r="E112" s="41">
        <v>1</v>
      </c>
      <c r="F112" s="41"/>
      <c r="G112" s="41"/>
      <c r="H112" s="41"/>
      <c r="I112" s="41"/>
      <c r="J112" s="41"/>
      <c r="K112" s="83"/>
      <c r="L112" s="36"/>
      <c r="M112" s="36"/>
      <c r="N112" s="269"/>
      <c r="O112" s="228"/>
      <c r="P112" s="36"/>
      <c r="Q112" s="36"/>
      <c r="R112" s="36"/>
      <c r="S112" s="36"/>
      <c r="T112" s="36"/>
    </row>
    <row r="113" spans="1:20" s="42" customFormat="1" ht="13.5">
      <c r="A113" s="37" t="s">
        <v>594</v>
      </c>
      <c r="B113" s="37"/>
      <c r="C113" s="211" t="s">
        <v>876</v>
      </c>
      <c r="D113" s="177" t="s">
        <v>391</v>
      </c>
      <c r="E113" s="41">
        <v>1</v>
      </c>
      <c r="F113" s="41"/>
      <c r="G113" s="41"/>
      <c r="H113" s="41"/>
      <c r="I113" s="41"/>
      <c r="J113" s="41"/>
      <c r="K113" s="83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42" customFormat="1" ht="13.5">
      <c r="A114" s="37" t="s">
        <v>596</v>
      </c>
      <c r="B114" s="37"/>
      <c r="C114" s="211" t="s">
        <v>628</v>
      </c>
      <c r="D114" s="177" t="s">
        <v>391</v>
      </c>
      <c r="E114" s="41">
        <v>1</v>
      </c>
      <c r="F114" s="41"/>
      <c r="G114" s="41"/>
      <c r="H114" s="41"/>
      <c r="I114" s="41"/>
      <c r="J114" s="41"/>
      <c r="K114" s="83"/>
      <c r="L114" s="36"/>
      <c r="M114" s="36"/>
      <c r="N114" s="287"/>
      <c r="O114" s="237"/>
      <c r="P114" s="36"/>
      <c r="Q114" s="36"/>
      <c r="R114" s="36"/>
      <c r="S114" s="36"/>
      <c r="T114" s="36"/>
    </row>
    <row r="115" spans="1:20" s="42" customFormat="1" ht="13.5">
      <c r="A115" s="37" t="s">
        <v>598</v>
      </c>
      <c r="B115" s="37"/>
      <c r="C115" s="211" t="s">
        <v>637</v>
      </c>
      <c r="D115" s="177" t="s">
        <v>391</v>
      </c>
      <c r="E115" s="41">
        <v>1</v>
      </c>
      <c r="F115" s="41"/>
      <c r="G115" s="41"/>
      <c r="H115" s="41"/>
      <c r="I115" s="41"/>
      <c r="J115" s="41"/>
      <c r="K115" s="83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s="42" customFormat="1" ht="13.5">
      <c r="A116" s="37" t="s">
        <v>600</v>
      </c>
      <c r="B116" s="37"/>
      <c r="C116" s="211" t="s">
        <v>639</v>
      </c>
      <c r="D116" s="177" t="s">
        <v>391</v>
      </c>
      <c r="E116" s="41">
        <v>1</v>
      </c>
      <c r="F116" s="41"/>
      <c r="G116" s="41"/>
      <c r="H116" s="41"/>
      <c r="I116" s="41"/>
      <c r="J116" s="41"/>
      <c r="K116" s="83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s="42" customFormat="1" ht="13.5">
      <c r="A117" s="37" t="s">
        <v>602</v>
      </c>
      <c r="B117" s="37"/>
      <c r="C117" s="211" t="s">
        <v>641</v>
      </c>
      <c r="D117" s="177" t="s">
        <v>391</v>
      </c>
      <c r="E117" s="41">
        <v>1</v>
      </c>
      <c r="F117" s="41"/>
      <c r="G117" s="41"/>
      <c r="H117" s="41"/>
      <c r="I117" s="41"/>
      <c r="J117" s="41"/>
      <c r="K117" s="83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s="42" customFormat="1" ht="13.5">
      <c r="A118" s="37" t="s">
        <v>604</v>
      </c>
      <c r="B118" s="37"/>
      <c r="C118" s="211" t="s">
        <v>643</v>
      </c>
      <c r="D118" s="177" t="s">
        <v>391</v>
      </c>
      <c r="E118" s="41">
        <v>1</v>
      </c>
      <c r="F118" s="41"/>
      <c r="G118" s="41"/>
      <c r="H118" s="41"/>
      <c r="I118" s="41"/>
      <c r="J118" s="41"/>
      <c r="K118" s="83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s="42" customFormat="1" ht="13.5">
      <c r="A119" s="37" t="s">
        <v>606</v>
      </c>
      <c r="B119" s="239" t="s">
        <v>645</v>
      </c>
      <c r="C119" s="240" t="s">
        <v>837</v>
      </c>
      <c r="D119" s="196" t="s">
        <v>189</v>
      </c>
      <c r="E119" s="41">
        <v>8</v>
      </c>
      <c r="F119" s="41"/>
      <c r="G119" s="41"/>
      <c r="H119" s="41"/>
      <c r="I119" s="41"/>
      <c r="J119" s="41"/>
      <c r="K119" s="83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ht="14.25">
      <c r="A120" s="67" t="s">
        <v>272</v>
      </c>
      <c r="B120" s="67"/>
      <c r="C120" s="67"/>
      <c r="D120" s="67"/>
      <c r="E120" s="67"/>
      <c r="F120" s="67"/>
      <c r="G120" s="67"/>
      <c r="H120" s="67"/>
      <c r="I120" s="67"/>
      <c r="J120" s="267"/>
      <c r="K120" s="260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2" s="73" customFormat="1" ht="13.5">
      <c r="A121" s="69" t="s">
        <v>273</v>
      </c>
      <c r="B121" s="70" t="s">
        <v>274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1"/>
      <c r="M121" s="72"/>
      <c r="N121" s="72"/>
      <c r="O121" s="72"/>
      <c r="P121" s="72"/>
      <c r="Q121" s="72"/>
      <c r="R121" s="72"/>
      <c r="S121" s="72"/>
      <c r="T121" s="72"/>
      <c r="U121" s="72"/>
      <c r="V121" s="72"/>
    </row>
    <row r="122" spans="1:22" s="194" customFormat="1" ht="14.25">
      <c r="A122" s="74" t="s">
        <v>275</v>
      </c>
      <c r="B122" s="120">
        <v>72075</v>
      </c>
      <c r="C122" s="76" t="s">
        <v>647</v>
      </c>
      <c r="D122" s="75" t="s">
        <v>23</v>
      </c>
      <c r="E122" s="41">
        <f>E133+2.56</f>
        <v>20.864</v>
      </c>
      <c r="F122" s="76"/>
      <c r="G122" s="41"/>
      <c r="H122" s="76"/>
      <c r="I122" s="41"/>
      <c r="J122" s="41"/>
      <c r="K122" s="41"/>
      <c r="L122" s="71"/>
      <c r="M122" s="72"/>
      <c r="N122" s="72"/>
      <c r="O122" s="72"/>
      <c r="P122" s="72"/>
      <c r="Q122" s="72"/>
      <c r="R122" s="72"/>
      <c r="S122" s="72"/>
      <c r="T122" s="72"/>
      <c r="U122" s="72"/>
      <c r="V122" s="72"/>
    </row>
    <row r="123" spans="1:22" s="73" customFormat="1" ht="14.25">
      <c r="A123" s="79" t="s">
        <v>285</v>
      </c>
      <c r="B123" s="79"/>
      <c r="C123" s="79"/>
      <c r="D123" s="79"/>
      <c r="E123" s="79"/>
      <c r="F123" s="79"/>
      <c r="G123" s="79"/>
      <c r="H123" s="79"/>
      <c r="I123" s="79"/>
      <c r="J123" s="267"/>
      <c r="K123" s="267"/>
      <c r="L123" s="80"/>
      <c r="M123" s="72"/>
      <c r="N123" s="72"/>
      <c r="O123" s="72"/>
      <c r="P123" s="72"/>
      <c r="Q123" s="72"/>
      <c r="R123" s="72"/>
      <c r="S123" s="72"/>
      <c r="T123" s="72"/>
      <c r="U123" s="72"/>
      <c r="V123" s="72"/>
    </row>
    <row r="124" spans="1:20" ht="13.5">
      <c r="A124" s="34" t="s">
        <v>286</v>
      </c>
      <c r="B124" s="35" t="s">
        <v>287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s="42" customFormat="1" ht="13.5">
      <c r="A125" s="118" t="s">
        <v>288</v>
      </c>
      <c r="B125" s="118"/>
      <c r="C125" s="322" t="s">
        <v>648</v>
      </c>
      <c r="D125" s="323" t="s">
        <v>391</v>
      </c>
      <c r="E125" s="41">
        <v>1</v>
      </c>
      <c r="F125" s="322"/>
      <c r="G125" s="322"/>
      <c r="H125" s="322"/>
      <c r="I125" s="322"/>
      <c r="J125" s="322"/>
      <c r="K125" s="141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s="91" customFormat="1" ht="15.75" customHeight="1">
      <c r="A126" s="324" t="s">
        <v>289</v>
      </c>
      <c r="B126" s="324"/>
      <c r="C126" s="325" t="s">
        <v>655</v>
      </c>
      <c r="D126" s="326" t="s">
        <v>391</v>
      </c>
      <c r="E126" s="83">
        <v>1</v>
      </c>
      <c r="F126" s="327"/>
      <c r="G126" s="325"/>
      <c r="H126" s="327"/>
      <c r="I126" s="325"/>
      <c r="J126" s="325"/>
      <c r="K126" s="328"/>
      <c r="L126" s="90"/>
      <c r="M126" s="90"/>
      <c r="N126" s="90"/>
      <c r="O126" s="90"/>
      <c r="P126" s="90"/>
      <c r="Q126" s="90"/>
      <c r="R126" s="90"/>
      <c r="S126" s="90"/>
      <c r="T126" s="90"/>
    </row>
    <row r="127" spans="1:11" ht="14.25">
      <c r="A127" s="67" t="s">
        <v>298</v>
      </c>
      <c r="B127" s="67"/>
      <c r="C127" s="67"/>
      <c r="D127" s="67"/>
      <c r="E127" s="67"/>
      <c r="F127" s="67"/>
      <c r="G127" s="67"/>
      <c r="H127" s="67"/>
      <c r="I127" s="67"/>
      <c r="J127" s="267"/>
      <c r="K127" s="260"/>
    </row>
    <row r="128" spans="1:20" ht="13.5">
      <c r="A128" s="34" t="s">
        <v>299</v>
      </c>
      <c r="B128" s="35" t="s">
        <v>300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s="42" customFormat="1" ht="13.5">
      <c r="A129" s="37" t="s">
        <v>301</v>
      </c>
      <c r="B129" s="120">
        <v>5974</v>
      </c>
      <c r="C129" s="44" t="s">
        <v>656</v>
      </c>
      <c r="D129" s="40" t="s">
        <v>23</v>
      </c>
      <c r="E129" s="41">
        <f>(E52+E53)*2</f>
        <v>128.8</v>
      </c>
      <c r="F129" s="41"/>
      <c r="G129" s="41"/>
      <c r="H129" s="41"/>
      <c r="I129" s="41"/>
      <c r="J129" s="41"/>
      <c r="K129" s="41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s="42" customFormat="1" ht="13.5">
      <c r="A130" s="37" t="s">
        <v>303</v>
      </c>
      <c r="B130" s="120">
        <v>5975</v>
      </c>
      <c r="C130" s="44" t="s">
        <v>657</v>
      </c>
      <c r="D130" s="40" t="s">
        <v>23</v>
      </c>
      <c r="E130" s="41">
        <f>E13/2</f>
        <v>2.8</v>
      </c>
      <c r="F130" s="41"/>
      <c r="G130" s="41"/>
      <c r="H130" s="41"/>
      <c r="I130" s="41"/>
      <c r="J130" s="41"/>
      <c r="K130" s="41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s="42" customFormat="1" ht="23.25">
      <c r="A131" s="37" t="s">
        <v>304</v>
      </c>
      <c r="B131" s="120">
        <v>5982</v>
      </c>
      <c r="C131" s="44" t="s">
        <v>658</v>
      </c>
      <c r="D131" s="40" t="s">
        <v>23</v>
      </c>
      <c r="E131" s="41">
        <f>E130</f>
        <v>2.8</v>
      </c>
      <c r="F131" s="41"/>
      <c r="G131" s="41"/>
      <c r="H131" s="41"/>
      <c r="I131" s="41"/>
      <c r="J131" s="41"/>
      <c r="K131" s="41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s="42" customFormat="1" ht="23.25">
      <c r="A132" s="37" t="s">
        <v>305</v>
      </c>
      <c r="B132" s="120">
        <v>5992</v>
      </c>
      <c r="C132" s="44" t="s">
        <v>659</v>
      </c>
      <c r="D132" s="40" t="s">
        <v>23</v>
      </c>
      <c r="E132" s="41">
        <f>E129</f>
        <v>128.8</v>
      </c>
      <c r="F132" s="41"/>
      <c r="G132" s="41"/>
      <c r="H132" s="41"/>
      <c r="I132" s="41"/>
      <c r="J132" s="41"/>
      <c r="K132" s="41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s="42" customFormat="1" ht="13.5">
      <c r="A133" s="37" t="s">
        <v>308</v>
      </c>
      <c r="B133" s="120" t="s">
        <v>660</v>
      </c>
      <c r="C133" s="44" t="s">
        <v>661</v>
      </c>
      <c r="D133" s="40" t="s">
        <v>23</v>
      </c>
      <c r="E133" s="41">
        <f>(2.6*6.4)*1.1</f>
        <v>18.304000000000002</v>
      </c>
      <c r="F133" s="41"/>
      <c r="G133" s="41"/>
      <c r="H133" s="41"/>
      <c r="I133" s="41"/>
      <c r="J133" s="41"/>
      <c r="K133" s="41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s="42" customFormat="1" ht="15" customHeight="1">
      <c r="A134" s="37" t="s">
        <v>309</v>
      </c>
      <c r="B134" s="120">
        <v>9536</v>
      </c>
      <c r="C134" s="44" t="s">
        <v>663</v>
      </c>
      <c r="D134" s="40" t="s">
        <v>23</v>
      </c>
      <c r="E134" s="295">
        <f>1.36*2</f>
        <v>2.7199999999999998</v>
      </c>
      <c r="F134" s="41"/>
      <c r="G134" s="41"/>
      <c r="H134" s="41"/>
      <c r="I134" s="41"/>
      <c r="J134" s="41"/>
      <c r="K134" s="41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s="42" customFormat="1" ht="15" customHeight="1">
      <c r="A135" s="37" t="s">
        <v>310</v>
      </c>
      <c r="B135" s="120">
        <v>41602</v>
      </c>
      <c r="C135" s="44" t="s">
        <v>877</v>
      </c>
      <c r="D135" s="40" t="s">
        <v>23</v>
      </c>
      <c r="E135" s="41">
        <f>E130</f>
        <v>2.8</v>
      </c>
      <c r="F135" s="41"/>
      <c r="G135" s="41"/>
      <c r="H135" s="41"/>
      <c r="I135" s="41"/>
      <c r="J135" s="41"/>
      <c r="K135" s="41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s="42" customFormat="1" ht="15" customHeight="1">
      <c r="A136" s="37"/>
      <c r="B136" s="120" t="s">
        <v>664</v>
      </c>
      <c r="C136" s="44" t="s">
        <v>665</v>
      </c>
      <c r="D136" s="40" t="s">
        <v>23</v>
      </c>
      <c r="E136" s="98">
        <v>5.6</v>
      </c>
      <c r="F136" s="41"/>
      <c r="G136" s="41"/>
      <c r="H136" s="41"/>
      <c r="I136" s="41"/>
      <c r="J136" s="41"/>
      <c r="K136" s="41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s="42" customFormat="1" ht="24.75" customHeight="1">
      <c r="A137" s="37" t="s">
        <v>311</v>
      </c>
      <c r="B137" s="120" t="s">
        <v>666</v>
      </c>
      <c r="C137" s="47" t="s">
        <v>667</v>
      </c>
      <c r="D137" s="40" t="s">
        <v>23</v>
      </c>
      <c r="E137" s="41">
        <f>(E130*2)*1.1</f>
        <v>6.16</v>
      </c>
      <c r="F137" s="41"/>
      <c r="G137" s="41"/>
      <c r="H137" s="41"/>
      <c r="I137" s="41"/>
      <c r="J137" s="41"/>
      <c r="K137" s="41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s="42" customFormat="1" ht="13.5">
      <c r="A138" s="37" t="s">
        <v>312</v>
      </c>
      <c r="B138" s="120" t="s">
        <v>674</v>
      </c>
      <c r="C138" s="249" t="s">
        <v>675</v>
      </c>
      <c r="D138" s="40" t="s">
        <v>189</v>
      </c>
      <c r="E138" s="41">
        <f>(0.5+3.4)*1.1</f>
        <v>4.29</v>
      </c>
      <c r="F138" s="41"/>
      <c r="G138" s="41"/>
      <c r="H138" s="41"/>
      <c r="I138" s="41"/>
      <c r="J138" s="41"/>
      <c r="K138" s="41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s="42" customFormat="1" ht="13.5">
      <c r="A139" s="37" t="s">
        <v>668</v>
      </c>
      <c r="B139" s="120" t="s">
        <v>677</v>
      </c>
      <c r="C139" s="46" t="s">
        <v>678</v>
      </c>
      <c r="D139" s="40" t="s">
        <v>189</v>
      </c>
      <c r="E139" s="41">
        <f>(3*0.7)*1.1</f>
        <v>2.3100000000000005</v>
      </c>
      <c r="F139" s="41"/>
      <c r="G139" s="41"/>
      <c r="H139" s="41"/>
      <c r="I139" s="41"/>
      <c r="J139" s="41"/>
      <c r="K139" s="41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s="42" customFormat="1" ht="24.75" customHeight="1">
      <c r="A140" s="37" t="s">
        <v>671</v>
      </c>
      <c r="B140" s="120" t="s">
        <v>683</v>
      </c>
      <c r="C140" s="44" t="s">
        <v>684</v>
      </c>
      <c r="D140" s="40" t="s">
        <v>189</v>
      </c>
      <c r="E140" s="41">
        <f>6.4*1*1</f>
        <v>6.4</v>
      </c>
      <c r="F140" s="41"/>
      <c r="G140" s="41"/>
      <c r="H140" s="41"/>
      <c r="I140" s="41"/>
      <c r="J140" s="41"/>
      <c r="K140" s="41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3.5">
      <c r="A141" s="67" t="s">
        <v>313</v>
      </c>
      <c r="B141" s="67"/>
      <c r="C141" s="67"/>
      <c r="D141" s="67"/>
      <c r="E141" s="67"/>
      <c r="F141" s="67"/>
      <c r="G141" s="67"/>
      <c r="H141" s="67"/>
      <c r="I141" s="67"/>
      <c r="J141" s="53"/>
      <c r="K141" s="53"/>
      <c r="L141" s="68"/>
      <c r="M141" s="36"/>
      <c r="N141" s="36"/>
      <c r="O141" s="36"/>
      <c r="P141" s="36"/>
      <c r="Q141" s="36"/>
      <c r="R141" s="36"/>
      <c r="S141" s="36"/>
      <c r="T141" s="36"/>
    </row>
    <row r="142" spans="1:21" s="73" customFormat="1" ht="13.5">
      <c r="A142" s="69" t="s">
        <v>314</v>
      </c>
      <c r="B142" s="85" t="s">
        <v>315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71"/>
      <c r="M142" s="72"/>
      <c r="N142" s="72"/>
      <c r="O142" s="72"/>
      <c r="P142" s="72"/>
      <c r="Q142" s="72"/>
      <c r="R142" s="72"/>
      <c r="S142" s="72"/>
      <c r="T142" s="72"/>
      <c r="U142" s="72"/>
    </row>
    <row r="143" spans="1:21" s="78" customFormat="1" ht="13.5">
      <c r="A143" s="74" t="s">
        <v>316</v>
      </c>
      <c r="B143" s="253">
        <v>72120</v>
      </c>
      <c r="C143" s="76" t="s">
        <v>686</v>
      </c>
      <c r="D143" s="75" t="s">
        <v>23</v>
      </c>
      <c r="E143" s="41">
        <f>E57</f>
        <v>4.86</v>
      </c>
      <c r="F143" s="41"/>
      <c r="G143" s="41"/>
      <c r="H143" s="41"/>
      <c r="I143" s="41"/>
      <c r="J143" s="41"/>
      <c r="K143" s="41"/>
      <c r="L143" s="71"/>
      <c r="M143" s="72"/>
      <c r="N143" s="72"/>
      <c r="O143" s="72"/>
      <c r="P143" s="72"/>
      <c r="Q143" s="72"/>
      <c r="R143" s="72"/>
      <c r="S143" s="72"/>
      <c r="T143" s="72"/>
      <c r="U143" s="72"/>
    </row>
    <row r="144" spans="1:21" s="78" customFormat="1" ht="13.5">
      <c r="A144" s="74" t="s">
        <v>317</v>
      </c>
      <c r="B144" s="253">
        <v>72122</v>
      </c>
      <c r="C144" s="76" t="s">
        <v>804</v>
      </c>
      <c r="D144" s="75" t="s">
        <v>23</v>
      </c>
      <c r="E144" s="41">
        <f>0.5*0.6</f>
        <v>0.30000000000000004</v>
      </c>
      <c r="F144" s="41"/>
      <c r="G144" s="41"/>
      <c r="H144" s="41"/>
      <c r="I144" s="41"/>
      <c r="J144" s="41"/>
      <c r="K144" s="41"/>
      <c r="L144" s="71"/>
      <c r="M144" s="72"/>
      <c r="N144" s="72"/>
      <c r="O144" s="72"/>
      <c r="P144" s="72"/>
      <c r="Q144" s="72"/>
      <c r="R144" s="72"/>
      <c r="S144" s="72"/>
      <c r="T144" s="72"/>
      <c r="U144" s="72"/>
    </row>
    <row r="145" spans="1:21" s="73" customFormat="1" ht="13.5">
      <c r="A145" s="122" t="s">
        <v>326</v>
      </c>
      <c r="B145" s="122"/>
      <c r="C145" s="122"/>
      <c r="D145" s="122"/>
      <c r="E145" s="122"/>
      <c r="F145" s="122"/>
      <c r="G145" s="122"/>
      <c r="H145" s="122"/>
      <c r="I145" s="122"/>
      <c r="J145" s="53"/>
      <c r="K145" s="53"/>
      <c r="L145" s="80"/>
      <c r="M145" s="72"/>
      <c r="N145" s="72"/>
      <c r="O145" s="72"/>
      <c r="P145" s="72"/>
      <c r="Q145" s="72"/>
      <c r="R145" s="72"/>
      <c r="S145" s="72"/>
      <c r="T145" s="72"/>
      <c r="U145" s="72"/>
    </row>
    <row r="146" spans="1:20" s="42" customFormat="1" ht="13.5">
      <c r="A146" s="34" t="s">
        <v>327</v>
      </c>
      <c r="B146" s="123" t="s">
        <v>328</v>
      </c>
      <c r="C146" s="123"/>
      <c r="D146" s="123"/>
      <c r="E146" s="123"/>
      <c r="F146" s="123"/>
      <c r="G146" s="123"/>
      <c r="H146" s="123"/>
      <c r="I146" s="123"/>
      <c r="J146" s="123"/>
      <c r="K146" s="123"/>
      <c r="L146" s="68"/>
      <c r="M146" s="36"/>
      <c r="N146" s="36"/>
      <c r="O146" s="36"/>
      <c r="P146" s="36"/>
      <c r="Q146" s="36"/>
      <c r="R146" s="36"/>
      <c r="S146" s="36"/>
      <c r="T146" s="36"/>
    </row>
    <row r="147" spans="1:20" s="42" customFormat="1" ht="13.5">
      <c r="A147" s="37" t="s">
        <v>329</v>
      </c>
      <c r="B147" s="38" t="s">
        <v>692</v>
      </c>
      <c r="C147" s="46" t="s">
        <v>693</v>
      </c>
      <c r="D147" s="40" t="s">
        <v>23</v>
      </c>
      <c r="E147" s="41">
        <f>E129+E130-(E133/1.1)</f>
        <v>114.96000000000002</v>
      </c>
      <c r="F147" s="41"/>
      <c r="G147" s="41"/>
      <c r="H147" s="41"/>
      <c r="I147" s="41"/>
      <c r="J147" s="41"/>
      <c r="K147" s="41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s="42" customFormat="1" ht="13.5">
      <c r="A148" s="37" t="s">
        <v>330</v>
      </c>
      <c r="B148" s="38" t="s">
        <v>694</v>
      </c>
      <c r="C148" s="46" t="s">
        <v>695</v>
      </c>
      <c r="D148" s="40" t="s">
        <v>23</v>
      </c>
      <c r="E148" s="41">
        <f>E147</f>
        <v>114.96000000000002</v>
      </c>
      <c r="F148" s="41"/>
      <c r="G148" s="41"/>
      <c r="H148" s="41"/>
      <c r="I148" s="41"/>
      <c r="J148" s="41"/>
      <c r="K148" s="41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s="42" customFormat="1" ht="13.5">
      <c r="A149" s="37" t="s">
        <v>331</v>
      </c>
      <c r="B149" s="38" t="s">
        <v>696</v>
      </c>
      <c r="C149" s="46" t="s">
        <v>697</v>
      </c>
      <c r="D149" s="40" t="s">
        <v>23</v>
      </c>
      <c r="E149" s="41">
        <f>E134*1.15</f>
        <v>3.1279999999999997</v>
      </c>
      <c r="F149" s="41"/>
      <c r="G149" s="41"/>
      <c r="H149" s="41"/>
      <c r="I149" s="41"/>
      <c r="J149" s="41"/>
      <c r="K149" s="41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s="42" customFormat="1" ht="13.5">
      <c r="A150" s="37" t="s">
        <v>332</v>
      </c>
      <c r="B150" s="120">
        <v>6082</v>
      </c>
      <c r="C150" s="46" t="s">
        <v>698</v>
      </c>
      <c r="D150" s="40" t="s">
        <v>23</v>
      </c>
      <c r="E150" s="41">
        <f>0.7*2.1*3*2</f>
        <v>8.82</v>
      </c>
      <c r="F150" s="41"/>
      <c r="G150" s="41"/>
      <c r="H150" s="41"/>
      <c r="I150" s="41"/>
      <c r="J150" s="41"/>
      <c r="K150" s="41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s="42" customFormat="1" ht="14.25">
      <c r="A151" s="67" t="s">
        <v>339</v>
      </c>
      <c r="B151" s="67"/>
      <c r="C151" s="67"/>
      <c r="D151" s="67"/>
      <c r="E151" s="67"/>
      <c r="F151" s="67"/>
      <c r="G151" s="67"/>
      <c r="H151" s="67"/>
      <c r="I151" s="67"/>
      <c r="J151" s="267"/>
      <c r="K151" s="267"/>
      <c r="L151" s="68"/>
      <c r="M151" s="36"/>
      <c r="N151" s="36"/>
      <c r="O151" s="36"/>
      <c r="P151" s="36"/>
      <c r="Q151" s="36"/>
      <c r="R151" s="36"/>
      <c r="S151" s="36"/>
      <c r="T151" s="36"/>
    </row>
    <row r="152" spans="1:22" s="73" customFormat="1" ht="13.5">
      <c r="A152" s="69" t="s">
        <v>340</v>
      </c>
      <c r="B152" s="70" t="s">
        <v>341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1"/>
      <c r="M152" s="72"/>
      <c r="N152" s="72"/>
      <c r="O152" s="72"/>
      <c r="P152" s="72"/>
      <c r="Q152" s="72"/>
      <c r="R152" s="72"/>
      <c r="S152" s="72"/>
      <c r="T152" s="72"/>
      <c r="U152" s="72"/>
      <c r="V152" s="72"/>
    </row>
    <row r="153" spans="1:22" s="73" customFormat="1" ht="13.5">
      <c r="A153" s="69" t="s">
        <v>342</v>
      </c>
      <c r="B153" s="139" t="s">
        <v>354</v>
      </c>
      <c r="C153" s="131" t="s">
        <v>699</v>
      </c>
      <c r="D153" s="140" t="s">
        <v>23</v>
      </c>
      <c r="E153" s="41">
        <f>12.8-5.6</f>
        <v>7.200000000000001</v>
      </c>
      <c r="F153" s="141"/>
      <c r="G153" s="41"/>
      <c r="H153" s="41"/>
      <c r="I153" s="41"/>
      <c r="J153" s="41"/>
      <c r="K153" s="41"/>
      <c r="L153" s="71"/>
      <c r="M153" s="72"/>
      <c r="N153" s="72"/>
      <c r="O153" s="72"/>
      <c r="P153" s="72"/>
      <c r="Q153" s="72"/>
      <c r="R153" s="72"/>
      <c r="S153" s="72"/>
      <c r="T153" s="72"/>
      <c r="U153" s="72"/>
      <c r="V153" s="72"/>
    </row>
    <row r="154" spans="1:22" s="73" customFormat="1" ht="14.25">
      <c r="A154" s="79" t="s">
        <v>405</v>
      </c>
      <c r="B154" s="79"/>
      <c r="C154" s="79"/>
      <c r="D154" s="79"/>
      <c r="E154" s="79"/>
      <c r="F154" s="79"/>
      <c r="G154" s="79"/>
      <c r="H154" s="79"/>
      <c r="I154" s="79"/>
      <c r="J154" s="267"/>
      <c r="K154" s="267"/>
      <c r="L154" s="80"/>
      <c r="M154" s="72"/>
      <c r="N154" s="72"/>
      <c r="O154" s="72"/>
      <c r="P154" s="72"/>
      <c r="Q154" s="72"/>
      <c r="R154" s="72"/>
      <c r="S154" s="72"/>
      <c r="T154" s="72"/>
      <c r="U154" s="72"/>
      <c r="V154" s="72"/>
    </row>
    <row r="155" spans="1:12" ht="13.5">
      <c r="A155" s="34" t="s">
        <v>406</v>
      </c>
      <c r="B155" s="143" t="s">
        <v>407</v>
      </c>
      <c r="C155" s="143"/>
      <c r="D155" s="143"/>
      <c r="E155" s="143"/>
      <c r="F155" s="143"/>
      <c r="G155" s="143"/>
      <c r="H155" s="143"/>
      <c r="I155" s="143"/>
      <c r="J155" s="143"/>
      <c r="K155" s="143"/>
      <c r="L155" s="144"/>
    </row>
    <row r="156" spans="1:11" s="42" customFormat="1" ht="13.5">
      <c r="A156" s="37" t="s">
        <v>408</v>
      </c>
      <c r="B156" s="120">
        <v>9537</v>
      </c>
      <c r="C156" s="36" t="s">
        <v>700</v>
      </c>
      <c r="D156" s="40" t="s">
        <v>23</v>
      </c>
      <c r="E156" s="41">
        <f>E13*2</f>
        <v>11.2</v>
      </c>
      <c r="F156" s="41"/>
      <c r="G156" s="41"/>
      <c r="H156" s="41"/>
      <c r="I156" s="41"/>
      <c r="J156" s="41"/>
      <c r="K156" s="41"/>
    </row>
    <row r="157" spans="1:11" ht="14.25">
      <c r="A157" s="67" t="s">
        <v>424</v>
      </c>
      <c r="B157" s="67"/>
      <c r="C157" s="67"/>
      <c r="D157" s="67"/>
      <c r="E157" s="67"/>
      <c r="F157" s="67"/>
      <c r="G157" s="67"/>
      <c r="H157" s="67"/>
      <c r="I157" s="67"/>
      <c r="J157" s="267"/>
      <c r="K157" s="260"/>
    </row>
    <row r="158" spans="1:11" s="151" customFormat="1" ht="13.5">
      <c r="A158" s="148"/>
      <c r="B158" s="149"/>
      <c r="C158" s="150"/>
      <c r="D158" s="150"/>
      <c r="E158" s="150"/>
      <c r="F158" s="150"/>
      <c r="G158" s="150"/>
      <c r="H158" s="150"/>
      <c r="I158" s="150"/>
      <c r="J158" s="150"/>
      <c r="K158" s="150"/>
    </row>
    <row r="159" spans="1:11" s="154" customFormat="1" ht="15.75">
      <c r="A159" s="152" t="s">
        <v>425</v>
      </c>
      <c r="B159" s="152"/>
      <c r="C159" s="152"/>
      <c r="D159" s="152"/>
      <c r="E159" s="152"/>
      <c r="F159" s="152"/>
      <c r="G159" s="152"/>
      <c r="H159" s="152"/>
      <c r="I159" s="152"/>
      <c r="J159" s="153"/>
      <c r="K159" s="153"/>
    </row>
  </sheetData>
  <sheetProtection selectLockedCells="1" selectUnlockedCells="1"/>
  <mergeCells count="48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O9"/>
    <mergeCell ref="P9:T9"/>
    <mergeCell ref="B11:K11"/>
    <mergeCell ref="A14:I14"/>
    <mergeCell ref="B15:K15"/>
    <mergeCell ref="A22:I22"/>
    <mergeCell ref="B23:K23"/>
    <mergeCell ref="A32:I32"/>
    <mergeCell ref="B33:K33"/>
    <mergeCell ref="A50:I50"/>
    <mergeCell ref="B51:K51"/>
    <mergeCell ref="A55:I55"/>
    <mergeCell ref="B56:K56"/>
    <mergeCell ref="A63:I63"/>
    <mergeCell ref="B64:K64"/>
    <mergeCell ref="A70:I70"/>
    <mergeCell ref="B71:K71"/>
    <mergeCell ref="A85:I85"/>
    <mergeCell ref="B86:K86"/>
    <mergeCell ref="A94:I94"/>
    <mergeCell ref="B95:K95"/>
    <mergeCell ref="A120:I120"/>
    <mergeCell ref="B121:K121"/>
    <mergeCell ref="A123:I123"/>
    <mergeCell ref="B124:K124"/>
    <mergeCell ref="A127:I127"/>
    <mergeCell ref="B128:K128"/>
    <mergeCell ref="A141:I141"/>
    <mergeCell ref="B142:K142"/>
    <mergeCell ref="A145:I145"/>
    <mergeCell ref="B146:K146"/>
    <mergeCell ref="A151:I151"/>
    <mergeCell ref="B152:K152"/>
    <mergeCell ref="A154:I154"/>
    <mergeCell ref="B155:K155"/>
    <mergeCell ref="A157:I157"/>
    <mergeCell ref="C158:K158"/>
    <mergeCell ref="A159:I159"/>
  </mergeCells>
  <printOptions/>
  <pageMargins left="0.5118055555555555" right="0.5118055555555555" top="0.7875" bottom="0.7875" header="0.5118055555555555" footer="0.31527777777777777"/>
  <pageSetup fitToHeight="10" fitToWidth="1" horizontalDpi="300" verticalDpi="300" orientation="landscape" paperSize="77"/>
  <headerFooter alignWithMargins="0">
    <oddFooter xml:space="preserve">&amp;L&amp;"Calibri,Regular"&amp;11POSTO DE OBSERVAÇÃO&amp;C&amp;"Calibri,Regular"&amp;11Página &amp;P de &amp;N&amp;R&amp;"Calibri,Regular"&amp;11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1"/>
  <sheetViews>
    <sheetView zoomScale="90" zoomScaleNormal="9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6.28125" style="1" customWidth="1"/>
    <col min="2" max="2" width="12.421875" style="1" customWidth="1"/>
    <col min="3" max="3" width="70.28125" style="2" customWidth="1"/>
    <col min="4" max="4" width="10.140625" style="3" customWidth="1"/>
    <col min="5" max="5" width="11.8515625" style="4" customWidth="1"/>
    <col min="6" max="9" width="17.28125" style="2" customWidth="1"/>
    <col min="10" max="11" width="14.421875" style="2" customWidth="1"/>
    <col min="12" max="12" width="10.421875" style="2" customWidth="1"/>
    <col min="13" max="13" width="9.421875" style="2" customWidth="1"/>
    <col min="14" max="14" width="13.8515625" style="2" customWidth="1"/>
    <col min="15" max="18" width="9.421875" style="2" customWidth="1"/>
    <col min="19" max="19" width="14.140625" style="2" customWidth="1"/>
    <col min="20" max="16384" width="9.421875" style="2" customWidth="1"/>
  </cols>
  <sheetData>
    <row r="1" spans="1:11" s="6" customFormat="1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4:8" ht="14.25">
      <c r="D2" s="7"/>
      <c r="E2" s="8"/>
      <c r="F2" s="3"/>
      <c r="G2" s="3"/>
      <c r="H2" s="3"/>
    </row>
    <row r="3" spans="4:11" ht="18">
      <c r="D3" s="9" t="s">
        <v>878</v>
      </c>
      <c r="E3" s="10"/>
      <c r="F3" s="10"/>
      <c r="G3" s="10"/>
      <c r="H3" s="11"/>
      <c r="J3" s="12"/>
      <c r="K3" s="13"/>
    </row>
    <row r="4" spans="4:11" ht="14.25">
      <c r="D4" s="14" t="s">
        <v>2</v>
      </c>
      <c r="E4" s="15"/>
      <c r="F4" s="16"/>
      <c r="G4" s="16"/>
      <c r="H4" s="17"/>
      <c r="J4" s="18"/>
      <c r="K4" s="13"/>
    </row>
    <row r="5" spans="4:11" ht="14.25">
      <c r="D5" s="19" t="s">
        <v>879</v>
      </c>
      <c r="E5" s="19"/>
      <c r="F5" s="19"/>
      <c r="G5" s="19"/>
      <c r="H5" s="17"/>
      <c r="J5" s="18"/>
      <c r="K5" s="13"/>
    </row>
    <row r="6" spans="4:11" ht="14.25">
      <c r="D6" s="20" t="s">
        <v>811</v>
      </c>
      <c r="E6" s="20"/>
      <c r="F6" s="20"/>
      <c r="G6" s="20"/>
      <c r="H6" s="17"/>
      <c r="J6" s="18"/>
      <c r="K6" s="13"/>
    </row>
    <row r="7" spans="4:11" ht="14.25">
      <c r="D7" s="19" t="s">
        <v>5</v>
      </c>
      <c r="E7" s="19"/>
      <c r="F7" s="19"/>
      <c r="G7" s="19"/>
      <c r="H7" s="17"/>
      <c r="J7" s="18"/>
      <c r="K7" s="13"/>
    </row>
    <row r="8" spans="10:11" ht="14.25">
      <c r="J8" s="13"/>
      <c r="K8" s="13"/>
    </row>
    <row r="9" spans="1:20" s="6" customFormat="1" ht="15" customHeight="1">
      <c r="A9" s="21" t="s">
        <v>6</v>
      </c>
      <c r="B9" s="21" t="s">
        <v>7</v>
      </c>
      <c r="C9" s="21" t="s">
        <v>8</v>
      </c>
      <c r="D9" s="21" t="s">
        <v>9</v>
      </c>
      <c r="E9" s="22" t="s">
        <v>10</v>
      </c>
      <c r="F9" s="21" t="s">
        <v>11</v>
      </c>
      <c r="G9" s="21"/>
      <c r="H9" s="23" t="s">
        <v>12</v>
      </c>
      <c r="I9" s="23"/>
      <c r="J9" s="24" t="s">
        <v>13</v>
      </c>
      <c r="K9" s="25" t="s">
        <v>14</v>
      </c>
      <c r="L9" s="26"/>
      <c r="M9" s="26"/>
      <c r="N9" s="26"/>
      <c r="O9" s="26"/>
      <c r="P9" s="27"/>
      <c r="Q9" s="27"/>
      <c r="R9" s="27"/>
      <c r="S9" s="27"/>
      <c r="T9" s="27"/>
    </row>
    <row r="10" spans="1:20" ht="13.5">
      <c r="A10" s="21"/>
      <c r="B10" s="21"/>
      <c r="C10" s="21"/>
      <c r="D10" s="21"/>
      <c r="E10" s="22"/>
      <c r="F10" s="28" t="s">
        <v>15</v>
      </c>
      <c r="G10" s="29" t="s">
        <v>16</v>
      </c>
      <c r="H10" s="29" t="s">
        <v>15</v>
      </c>
      <c r="I10" s="29" t="s">
        <v>16</v>
      </c>
      <c r="J10" s="29" t="s">
        <v>17</v>
      </c>
      <c r="K10" s="31">
        <f>E4</f>
        <v>0</v>
      </c>
      <c r="L10" s="32"/>
      <c r="M10" s="33"/>
      <c r="N10" s="33"/>
      <c r="O10" s="33"/>
      <c r="P10" s="32"/>
      <c r="Q10" s="32"/>
      <c r="R10" s="33"/>
      <c r="S10" s="33"/>
      <c r="T10" s="32"/>
    </row>
    <row r="11" spans="1:20" ht="13.5">
      <c r="A11" s="34" t="s">
        <v>18</v>
      </c>
      <c r="B11" s="3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42" customFormat="1" ht="13.5">
      <c r="A12" s="37" t="s">
        <v>20</v>
      </c>
      <c r="B12" s="43">
        <v>73672</v>
      </c>
      <c r="C12" s="39" t="s">
        <v>25</v>
      </c>
      <c r="D12" s="40" t="s">
        <v>23</v>
      </c>
      <c r="E12" s="41">
        <v>180.67</v>
      </c>
      <c r="F12" s="41"/>
      <c r="G12" s="41"/>
      <c r="H12" s="41"/>
      <c r="I12" s="41"/>
      <c r="J12" s="41"/>
      <c r="K12" s="41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2" customFormat="1" ht="23.25">
      <c r="A13" s="37" t="s">
        <v>24</v>
      </c>
      <c r="B13" s="38" t="s">
        <v>42</v>
      </c>
      <c r="C13" s="44" t="s">
        <v>43</v>
      </c>
      <c r="D13" s="40" t="s">
        <v>23</v>
      </c>
      <c r="E13" s="41">
        <v>180.67</v>
      </c>
      <c r="F13" s="41"/>
      <c r="G13" s="41"/>
      <c r="H13" s="41"/>
      <c r="I13" s="41"/>
      <c r="J13" s="41"/>
      <c r="K13" s="41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3.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3"/>
      <c r="K14" s="54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3.5">
      <c r="A15" s="34" t="s">
        <v>65</v>
      </c>
      <c r="B15" s="35" t="s">
        <v>66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91" customFormat="1" ht="14.25">
      <c r="A16" s="203" t="s">
        <v>67</v>
      </c>
      <c r="B16" s="329" t="s">
        <v>68</v>
      </c>
      <c r="C16" s="316" t="s">
        <v>69</v>
      </c>
      <c r="D16" s="196" t="s">
        <v>346</v>
      </c>
      <c r="E16" s="83">
        <f>E12*1</f>
        <v>180.67</v>
      </c>
      <c r="F16" s="83"/>
      <c r="G16" s="83"/>
      <c r="H16" s="83"/>
      <c r="I16" s="83"/>
      <c r="J16" s="83"/>
      <c r="K16" s="83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91" customFormat="1" ht="14.25">
      <c r="A17" s="203" t="s">
        <v>430</v>
      </c>
      <c r="B17" s="57" t="s">
        <v>428</v>
      </c>
      <c r="C17" s="58" t="s">
        <v>429</v>
      </c>
      <c r="D17" s="40" t="s">
        <v>23</v>
      </c>
      <c r="E17" s="41">
        <f>E12/3</f>
        <v>60.22333333333333</v>
      </c>
      <c r="F17" s="41"/>
      <c r="G17" s="41"/>
      <c r="H17" s="41"/>
      <c r="I17" s="41"/>
      <c r="J17" s="41"/>
      <c r="K17" s="83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91" customFormat="1" ht="14.25">
      <c r="A18" s="203" t="s">
        <v>70</v>
      </c>
      <c r="B18" s="174" t="s">
        <v>432</v>
      </c>
      <c r="C18" s="58" t="s">
        <v>433</v>
      </c>
      <c r="D18" s="40" t="s">
        <v>346</v>
      </c>
      <c r="E18" s="41">
        <v>39.65</v>
      </c>
      <c r="F18" s="41"/>
      <c r="G18" s="41"/>
      <c r="H18" s="41"/>
      <c r="I18" s="41"/>
      <c r="J18" s="41"/>
      <c r="K18" s="83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91" customFormat="1" ht="14.25">
      <c r="A19" s="203" t="s">
        <v>71</v>
      </c>
      <c r="B19" s="174" t="s">
        <v>434</v>
      </c>
      <c r="C19" s="58" t="s">
        <v>435</v>
      </c>
      <c r="D19" s="177" t="s">
        <v>23</v>
      </c>
      <c r="E19" s="41">
        <v>92.47</v>
      </c>
      <c r="F19" s="41"/>
      <c r="G19" s="41"/>
      <c r="H19" s="41"/>
      <c r="I19" s="41"/>
      <c r="J19" s="41"/>
      <c r="K19" s="83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91" customFormat="1" ht="23.25">
      <c r="A20" s="203" t="s">
        <v>72</v>
      </c>
      <c r="B20" s="174">
        <v>72915</v>
      </c>
      <c r="C20" s="58" t="s">
        <v>431</v>
      </c>
      <c r="D20" s="40" t="s">
        <v>346</v>
      </c>
      <c r="E20" s="41">
        <v>27.59</v>
      </c>
      <c r="F20" s="41"/>
      <c r="G20" s="41"/>
      <c r="H20" s="41"/>
      <c r="I20" s="41"/>
      <c r="J20" s="41"/>
      <c r="K20" s="83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173" customFormat="1" ht="14.25">
      <c r="A21" s="203" t="s">
        <v>73</v>
      </c>
      <c r="B21" s="174">
        <v>6430</v>
      </c>
      <c r="C21" s="58" t="s">
        <v>359</v>
      </c>
      <c r="D21" s="40" t="s">
        <v>346</v>
      </c>
      <c r="E21" s="41">
        <v>23.76</v>
      </c>
      <c r="F21" s="41"/>
      <c r="G21" s="41"/>
      <c r="H21" s="41"/>
      <c r="I21" s="41"/>
      <c r="J21" s="41"/>
      <c r="K21" s="83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4.25">
      <c r="A22" s="67" t="s">
        <v>80</v>
      </c>
      <c r="B22" s="67"/>
      <c r="C22" s="67"/>
      <c r="D22" s="67"/>
      <c r="E22" s="67"/>
      <c r="F22" s="67"/>
      <c r="G22" s="67"/>
      <c r="H22" s="67"/>
      <c r="I22" s="67"/>
      <c r="J22" s="53"/>
      <c r="K22" s="260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3.5">
      <c r="A23" s="34" t="s">
        <v>81</v>
      </c>
      <c r="B23" s="35" t="s">
        <v>82</v>
      </c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42" customFormat="1" ht="13.5">
      <c r="A24" s="37" t="s">
        <v>83</v>
      </c>
      <c r="B24" s="37"/>
      <c r="C24" s="176" t="s">
        <v>436</v>
      </c>
      <c r="D24" s="177" t="s">
        <v>23</v>
      </c>
      <c r="E24" s="178">
        <v>99.7</v>
      </c>
      <c r="F24" s="178"/>
      <c r="G24" s="178"/>
      <c r="H24" s="178"/>
      <c r="I24" s="178"/>
      <c r="J24" s="178"/>
      <c r="K24" s="178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42" customFormat="1" ht="13.5">
      <c r="A25" s="37" t="s">
        <v>84</v>
      </c>
      <c r="B25" s="37" t="s">
        <v>437</v>
      </c>
      <c r="C25" s="176" t="s">
        <v>438</v>
      </c>
      <c r="D25" s="177" t="s">
        <v>346</v>
      </c>
      <c r="E25" s="178">
        <v>5.9</v>
      </c>
      <c r="F25" s="178"/>
      <c r="G25" s="178"/>
      <c r="H25" s="178"/>
      <c r="I25" s="178"/>
      <c r="J25" s="178"/>
      <c r="K25" s="178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2" customFormat="1" ht="13.5">
      <c r="A26" s="37" t="s">
        <v>85</v>
      </c>
      <c r="B26" s="37" t="s">
        <v>439</v>
      </c>
      <c r="C26" s="176" t="s">
        <v>440</v>
      </c>
      <c r="D26" s="177" t="s">
        <v>346</v>
      </c>
      <c r="E26" s="178">
        <v>5.9</v>
      </c>
      <c r="F26" s="178"/>
      <c r="G26" s="178"/>
      <c r="H26" s="178"/>
      <c r="I26" s="178"/>
      <c r="J26" s="178"/>
      <c r="K26" s="178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13.5">
      <c r="A27" s="37" t="s">
        <v>86</v>
      </c>
      <c r="B27" s="37"/>
      <c r="C27" s="176" t="s">
        <v>441</v>
      </c>
      <c r="D27" s="177" t="s">
        <v>346</v>
      </c>
      <c r="E27" s="178">
        <v>1.25</v>
      </c>
      <c r="F27" s="178"/>
      <c r="G27" s="178"/>
      <c r="H27" s="178"/>
      <c r="I27" s="178"/>
      <c r="J27" s="178"/>
      <c r="K27" s="178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42" customFormat="1" ht="13.5">
      <c r="A28" s="37" t="s">
        <v>87</v>
      </c>
      <c r="B28" s="37"/>
      <c r="C28" s="176" t="s">
        <v>442</v>
      </c>
      <c r="D28" s="177" t="s">
        <v>346</v>
      </c>
      <c r="E28" s="178">
        <v>6.47</v>
      </c>
      <c r="F28" s="178"/>
      <c r="G28" s="178"/>
      <c r="H28" s="178"/>
      <c r="I28" s="178"/>
      <c r="J28" s="178"/>
      <c r="K28" s="178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42" customFormat="1" ht="13.5">
      <c r="A29" s="37" t="s">
        <v>88</v>
      </c>
      <c r="B29" s="37" t="s">
        <v>439</v>
      </c>
      <c r="C29" s="176" t="s">
        <v>443</v>
      </c>
      <c r="D29" s="177" t="s">
        <v>346</v>
      </c>
      <c r="E29" s="178">
        <v>6.47</v>
      </c>
      <c r="F29" s="178"/>
      <c r="G29" s="178"/>
      <c r="H29" s="178"/>
      <c r="I29" s="178"/>
      <c r="J29" s="178"/>
      <c r="K29" s="178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42" customFormat="1" ht="13.5">
      <c r="A30" s="37" t="s">
        <v>89</v>
      </c>
      <c r="B30" s="37"/>
      <c r="C30" s="176" t="s">
        <v>444</v>
      </c>
      <c r="D30" s="177" t="s">
        <v>23</v>
      </c>
      <c r="E30" s="178">
        <v>18.1</v>
      </c>
      <c r="F30" s="178"/>
      <c r="G30" s="178"/>
      <c r="H30" s="178"/>
      <c r="I30" s="178"/>
      <c r="J30" s="178"/>
      <c r="K30" s="178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42" customFormat="1" ht="23.25">
      <c r="A31" s="37" t="s">
        <v>90</v>
      </c>
      <c r="B31" s="179" t="s">
        <v>445</v>
      </c>
      <c r="C31" s="180" t="s">
        <v>446</v>
      </c>
      <c r="D31" s="177" t="s">
        <v>447</v>
      </c>
      <c r="E31" s="178">
        <v>192.4</v>
      </c>
      <c r="F31" s="178"/>
      <c r="G31" s="178"/>
      <c r="H31" s="178"/>
      <c r="I31" s="178"/>
      <c r="J31" s="178"/>
      <c r="K31" s="178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3.5">
      <c r="A32" s="67" t="s">
        <v>93</v>
      </c>
      <c r="B32" s="67"/>
      <c r="C32" s="67"/>
      <c r="D32" s="67"/>
      <c r="E32" s="67"/>
      <c r="F32" s="67"/>
      <c r="G32" s="67"/>
      <c r="H32" s="67"/>
      <c r="I32" s="67"/>
      <c r="J32" s="53"/>
      <c r="K32" s="53"/>
      <c r="L32" s="68"/>
      <c r="M32" s="36"/>
      <c r="N32" s="36"/>
      <c r="O32" s="36"/>
      <c r="P32" s="36"/>
      <c r="Q32" s="36"/>
      <c r="R32" s="36"/>
      <c r="S32" s="36"/>
      <c r="T32" s="36"/>
    </row>
    <row r="33" spans="1:22" s="73" customFormat="1" ht="13.5">
      <c r="A33" s="69" t="s">
        <v>94</v>
      </c>
      <c r="B33" s="70" t="s">
        <v>95</v>
      </c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s="261" customFormat="1" ht="14.25">
      <c r="A34" s="182" t="s">
        <v>96</v>
      </c>
      <c r="B34" s="182"/>
      <c r="C34" s="183" t="s">
        <v>448</v>
      </c>
      <c r="D34" s="184" t="s">
        <v>346</v>
      </c>
      <c r="E34" s="185">
        <f>0.81+0.14+0.18</f>
        <v>1.1300000000000001</v>
      </c>
      <c r="F34" s="186"/>
      <c r="G34" s="186"/>
      <c r="H34" s="186"/>
      <c r="I34" s="186"/>
      <c r="J34" s="186"/>
      <c r="K34" s="185"/>
      <c r="L34" s="187"/>
      <c r="M34" s="188"/>
      <c r="N34" s="188"/>
      <c r="O34" s="188"/>
      <c r="P34" s="188"/>
      <c r="Q34" s="188"/>
      <c r="R34" s="188"/>
      <c r="S34" s="188"/>
      <c r="T34" s="188"/>
      <c r="U34" s="188"/>
      <c r="V34" s="188"/>
    </row>
    <row r="35" spans="1:22" s="261" customFormat="1" ht="14.25">
      <c r="A35" s="182" t="s">
        <v>97</v>
      </c>
      <c r="B35" s="330" t="s">
        <v>880</v>
      </c>
      <c r="C35" s="183" t="s">
        <v>881</v>
      </c>
      <c r="D35" s="184" t="s">
        <v>346</v>
      </c>
      <c r="E35" s="185">
        <v>3.32</v>
      </c>
      <c r="F35" s="186"/>
      <c r="G35" s="186"/>
      <c r="H35" s="186"/>
      <c r="I35" s="186"/>
      <c r="J35" s="186"/>
      <c r="K35" s="185"/>
      <c r="L35" s="187"/>
      <c r="M35" s="188"/>
      <c r="N35" s="188"/>
      <c r="O35" s="188"/>
      <c r="P35" s="188"/>
      <c r="Q35" s="188"/>
      <c r="R35" s="188"/>
      <c r="S35" s="188"/>
      <c r="T35" s="188"/>
      <c r="U35" s="188"/>
      <c r="V35" s="188"/>
    </row>
    <row r="36" spans="1:22" s="261" customFormat="1" ht="14.25">
      <c r="A36" s="182" t="s">
        <v>98</v>
      </c>
      <c r="B36" s="330" t="s">
        <v>457</v>
      </c>
      <c r="C36" s="183" t="s">
        <v>882</v>
      </c>
      <c r="D36" s="184" t="s">
        <v>883</v>
      </c>
      <c r="E36" s="185">
        <v>104.99</v>
      </c>
      <c r="F36" s="186"/>
      <c r="G36" s="186"/>
      <c r="H36" s="186"/>
      <c r="I36" s="186"/>
      <c r="J36" s="186"/>
      <c r="K36" s="185"/>
      <c r="L36" s="187"/>
      <c r="M36" s="188"/>
      <c r="N36" s="188"/>
      <c r="O36" s="188"/>
      <c r="P36" s="188"/>
      <c r="Q36" s="188"/>
      <c r="R36" s="188"/>
      <c r="S36" s="188"/>
      <c r="T36" s="188"/>
      <c r="U36" s="188"/>
      <c r="V36" s="188"/>
    </row>
    <row r="37" spans="1:22" s="261" customFormat="1" ht="14.25">
      <c r="A37" s="182" t="s">
        <v>99</v>
      </c>
      <c r="B37" s="182"/>
      <c r="C37" s="183" t="s">
        <v>812</v>
      </c>
      <c r="D37" s="184" t="s">
        <v>23</v>
      </c>
      <c r="E37" s="185">
        <f>E135</f>
        <v>144.67</v>
      </c>
      <c r="F37" s="186"/>
      <c r="G37" s="186"/>
      <c r="H37" s="186"/>
      <c r="I37" s="186"/>
      <c r="J37" s="186"/>
      <c r="K37" s="185"/>
      <c r="L37" s="187"/>
      <c r="M37" s="188"/>
      <c r="N37" s="188"/>
      <c r="O37" s="188"/>
      <c r="P37" s="188"/>
      <c r="Q37" s="188"/>
      <c r="R37" s="188"/>
      <c r="S37" s="188"/>
      <c r="T37" s="188"/>
      <c r="U37" s="188"/>
      <c r="V37" s="188"/>
    </row>
    <row r="38" spans="1:22" s="261" customFormat="1" ht="23.25">
      <c r="A38" s="182" t="s">
        <v>100</v>
      </c>
      <c r="B38" s="182"/>
      <c r="C38" s="190" t="s">
        <v>449</v>
      </c>
      <c r="D38" s="184" t="s">
        <v>23</v>
      </c>
      <c r="E38" s="185">
        <v>64.3</v>
      </c>
      <c r="F38" s="186"/>
      <c r="G38" s="186"/>
      <c r="H38" s="186"/>
      <c r="I38" s="186"/>
      <c r="J38" s="191"/>
      <c r="K38" s="192"/>
      <c r="L38" s="187"/>
      <c r="M38" s="188"/>
      <c r="N38" s="188"/>
      <c r="O38" s="188"/>
      <c r="P38" s="188"/>
      <c r="Q38" s="188"/>
      <c r="R38" s="188"/>
      <c r="S38" s="188"/>
      <c r="T38" s="188"/>
      <c r="U38" s="188"/>
      <c r="V38" s="188"/>
    </row>
    <row r="39" spans="1:22" s="261" customFormat="1" ht="23.25">
      <c r="A39" s="182" t="s">
        <v>101</v>
      </c>
      <c r="B39" s="182"/>
      <c r="C39" s="190" t="s">
        <v>450</v>
      </c>
      <c r="D39" s="184" t="s">
        <v>23</v>
      </c>
      <c r="E39" s="185">
        <v>163.9</v>
      </c>
      <c r="F39" s="186"/>
      <c r="G39" s="186"/>
      <c r="H39" s="186"/>
      <c r="I39" s="186"/>
      <c r="J39" s="191"/>
      <c r="K39" s="192"/>
      <c r="L39" s="187"/>
      <c r="M39" s="188"/>
      <c r="N39" s="188"/>
      <c r="O39" s="188"/>
      <c r="P39" s="188"/>
      <c r="Q39" s="188"/>
      <c r="R39" s="188"/>
      <c r="S39" s="188"/>
      <c r="T39" s="188"/>
      <c r="U39" s="188"/>
      <c r="V39" s="188"/>
    </row>
    <row r="40" spans="1:22" s="261" customFormat="1" ht="14.25">
      <c r="A40" s="182" t="s">
        <v>102</v>
      </c>
      <c r="B40" s="86" t="s">
        <v>437</v>
      </c>
      <c r="C40" s="183" t="s">
        <v>451</v>
      </c>
      <c r="D40" s="184" t="s">
        <v>346</v>
      </c>
      <c r="E40" s="185">
        <v>9.7</v>
      </c>
      <c r="F40" s="186"/>
      <c r="G40" s="186"/>
      <c r="H40" s="186"/>
      <c r="I40" s="186"/>
      <c r="J40" s="191"/>
      <c r="K40" s="192"/>
      <c r="L40" s="187"/>
      <c r="M40" s="188"/>
      <c r="N40" s="188"/>
      <c r="O40" s="188"/>
      <c r="P40" s="188"/>
      <c r="Q40" s="188"/>
      <c r="R40" s="188"/>
      <c r="S40" s="188"/>
      <c r="T40" s="188"/>
      <c r="U40" s="188"/>
      <c r="V40" s="188"/>
    </row>
    <row r="41" spans="1:22" s="261" customFormat="1" ht="14.25">
      <c r="A41" s="182" t="s">
        <v>103</v>
      </c>
      <c r="B41" s="182" t="s">
        <v>452</v>
      </c>
      <c r="C41" s="183" t="s">
        <v>453</v>
      </c>
      <c r="D41" s="184" t="s">
        <v>346</v>
      </c>
      <c r="E41" s="185">
        <v>9.7</v>
      </c>
      <c r="F41" s="186"/>
      <c r="G41" s="186"/>
      <c r="H41" s="186"/>
      <c r="I41" s="186"/>
      <c r="J41" s="191"/>
      <c r="K41" s="192"/>
      <c r="L41" s="187"/>
      <c r="M41" s="188"/>
      <c r="N41" s="188"/>
      <c r="O41" s="188"/>
      <c r="P41" s="188"/>
      <c r="Q41" s="188"/>
      <c r="R41" s="188"/>
      <c r="S41" s="188"/>
      <c r="T41" s="188"/>
      <c r="U41" s="188"/>
      <c r="V41" s="188"/>
    </row>
    <row r="42" spans="1:22" s="261" customFormat="1" ht="14.25">
      <c r="A42" s="182" t="s">
        <v>104</v>
      </c>
      <c r="B42" s="86" t="s">
        <v>437</v>
      </c>
      <c r="C42" s="183" t="s">
        <v>454</v>
      </c>
      <c r="D42" s="184" t="s">
        <v>346</v>
      </c>
      <c r="E42" s="185">
        <v>3.5</v>
      </c>
      <c r="F42" s="186"/>
      <c r="G42" s="186"/>
      <c r="H42" s="186"/>
      <c r="I42" s="186"/>
      <c r="J42" s="191"/>
      <c r="K42" s="192"/>
      <c r="L42" s="187"/>
      <c r="M42" s="188"/>
      <c r="N42" s="188"/>
      <c r="O42" s="188"/>
      <c r="P42" s="188"/>
      <c r="Q42" s="188"/>
      <c r="R42" s="188"/>
      <c r="S42" s="188"/>
      <c r="T42" s="188"/>
      <c r="U42" s="188"/>
      <c r="V42" s="188"/>
    </row>
    <row r="43" spans="1:22" s="261" customFormat="1" ht="14.25">
      <c r="A43" s="182" t="s">
        <v>105</v>
      </c>
      <c r="B43" s="182" t="s">
        <v>452</v>
      </c>
      <c r="C43" s="183" t="s">
        <v>455</v>
      </c>
      <c r="D43" s="184" t="s">
        <v>346</v>
      </c>
      <c r="E43" s="185">
        <v>3.5</v>
      </c>
      <c r="F43" s="186"/>
      <c r="G43" s="186"/>
      <c r="H43" s="186"/>
      <c r="I43" s="186"/>
      <c r="J43" s="191"/>
      <c r="K43" s="192"/>
      <c r="L43" s="187"/>
      <c r="M43" s="188"/>
      <c r="N43" s="188"/>
      <c r="O43" s="188"/>
      <c r="P43" s="188"/>
      <c r="Q43" s="188"/>
      <c r="R43" s="188"/>
      <c r="S43" s="188"/>
      <c r="T43" s="188"/>
      <c r="U43" s="188"/>
      <c r="V43" s="188"/>
    </row>
    <row r="44" spans="1:22" s="261" customFormat="1" ht="23.25">
      <c r="A44" s="182" t="s">
        <v>460</v>
      </c>
      <c r="B44" s="311" t="s">
        <v>445</v>
      </c>
      <c r="C44" s="183" t="s">
        <v>456</v>
      </c>
      <c r="D44" s="184" t="s">
        <v>447</v>
      </c>
      <c r="E44" s="185">
        <v>318.9</v>
      </c>
      <c r="F44" s="186"/>
      <c r="G44" s="186"/>
      <c r="H44" s="186"/>
      <c r="I44" s="186"/>
      <c r="J44" s="191"/>
      <c r="K44" s="192"/>
      <c r="L44" s="187"/>
      <c r="M44" s="188"/>
      <c r="N44" s="188"/>
      <c r="O44" s="188"/>
      <c r="P44" s="188"/>
      <c r="Q44" s="188"/>
      <c r="R44" s="188"/>
      <c r="S44" s="188"/>
      <c r="T44" s="188"/>
      <c r="U44" s="188"/>
      <c r="V44" s="188"/>
    </row>
    <row r="45" spans="1:22" s="261" customFormat="1" ht="14.25">
      <c r="A45" s="182" t="s">
        <v>462</v>
      </c>
      <c r="B45" s="86" t="s">
        <v>457</v>
      </c>
      <c r="C45" s="183" t="s">
        <v>458</v>
      </c>
      <c r="D45" s="184" t="s">
        <v>447</v>
      </c>
      <c r="E45" s="185">
        <v>93.3</v>
      </c>
      <c r="F45" s="186"/>
      <c r="G45" s="186"/>
      <c r="H45" s="186"/>
      <c r="I45" s="186"/>
      <c r="J45" s="191"/>
      <c r="K45" s="192"/>
      <c r="L45" s="187"/>
      <c r="M45" s="188"/>
      <c r="N45" s="188"/>
      <c r="O45" s="188"/>
      <c r="P45" s="188"/>
      <c r="Q45" s="188"/>
      <c r="R45" s="188"/>
      <c r="S45" s="188"/>
      <c r="T45" s="188"/>
      <c r="U45" s="188"/>
      <c r="V45" s="188"/>
    </row>
    <row r="46" spans="1:22" s="261" customFormat="1" ht="23.25">
      <c r="A46" s="182" t="s">
        <v>705</v>
      </c>
      <c r="B46" s="311" t="s">
        <v>445</v>
      </c>
      <c r="C46" s="183" t="s">
        <v>459</v>
      </c>
      <c r="D46" s="184" t="s">
        <v>447</v>
      </c>
      <c r="E46" s="185">
        <v>407.8</v>
      </c>
      <c r="F46" s="186"/>
      <c r="G46" s="186"/>
      <c r="H46" s="186"/>
      <c r="I46" s="186"/>
      <c r="J46" s="191"/>
      <c r="K46" s="192"/>
      <c r="L46" s="187"/>
      <c r="M46" s="188"/>
      <c r="N46" s="188"/>
      <c r="O46" s="188"/>
      <c r="P46" s="188"/>
      <c r="Q46" s="188"/>
      <c r="R46" s="188"/>
      <c r="S46" s="188"/>
      <c r="T46" s="188"/>
      <c r="U46" s="188"/>
      <c r="V46" s="188"/>
    </row>
    <row r="47" spans="1:22" s="261" customFormat="1" ht="14.25">
      <c r="A47" s="182" t="s">
        <v>464</v>
      </c>
      <c r="B47" s="86" t="s">
        <v>457</v>
      </c>
      <c r="C47" s="183" t="s">
        <v>461</v>
      </c>
      <c r="D47" s="184" t="s">
        <v>447</v>
      </c>
      <c r="E47" s="185">
        <v>164.6</v>
      </c>
      <c r="F47" s="186"/>
      <c r="G47" s="186"/>
      <c r="H47" s="186"/>
      <c r="I47" s="186"/>
      <c r="J47" s="191"/>
      <c r="K47" s="192"/>
      <c r="L47" s="187"/>
      <c r="M47" s="188"/>
      <c r="N47" s="188"/>
      <c r="O47" s="188"/>
      <c r="P47" s="188"/>
      <c r="Q47" s="188"/>
      <c r="R47" s="188"/>
      <c r="S47" s="188"/>
      <c r="T47" s="188"/>
      <c r="U47" s="188"/>
      <c r="V47" s="188"/>
    </row>
    <row r="48" spans="1:22" s="261" customFormat="1" ht="23.25">
      <c r="A48" s="182" t="s">
        <v>707</v>
      </c>
      <c r="B48" s="182"/>
      <c r="C48" s="190" t="s">
        <v>884</v>
      </c>
      <c r="D48" s="184" t="s">
        <v>23</v>
      </c>
      <c r="E48" s="185">
        <v>174.67</v>
      </c>
      <c r="F48" s="186"/>
      <c r="G48" s="186"/>
      <c r="H48" s="186"/>
      <c r="I48" s="186"/>
      <c r="J48" s="191"/>
      <c r="K48" s="192"/>
      <c r="L48" s="187"/>
      <c r="M48" s="188"/>
      <c r="N48" s="188"/>
      <c r="O48" s="188"/>
      <c r="P48" s="188"/>
      <c r="Q48" s="188"/>
      <c r="R48" s="188"/>
      <c r="S48" s="188"/>
      <c r="T48" s="188"/>
      <c r="U48" s="188"/>
      <c r="V48" s="188"/>
    </row>
    <row r="49" spans="1:22" s="261" customFormat="1" ht="14.25">
      <c r="A49" s="182" t="s">
        <v>466</v>
      </c>
      <c r="B49" s="182"/>
      <c r="C49" s="183" t="s">
        <v>465</v>
      </c>
      <c r="D49" s="184" t="s">
        <v>391</v>
      </c>
      <c r="E49" s="185">
        <v>749</v>
      </c>
      <c r="F49" s="186"/>
      <c r="G49" s="186"/>
      <c r="H49" s="186"/>
      <c r="I49" s="186"/>
      <c r="J49" s="191"/>
      <c r="K49" s="192"/>
      <c r="L49" s="187"/>
      <c r="M49" s="188"/>
      <c r="N49" s="188"/>
      <c r="O49" s="188"/>
      <c r="P49" s="188"/>
      <c r="Q49" s="188"/>
      <c r="R49" s="188"/>
      <c r="S49" s="188"/>
      <c r="T49" s="188"/>
      <c r="U49" s="188"/>
      <c r="V49" s="188"/>
    </row>
    <row r="50" spans="1:22" s="261" customFormat="1" ht="14.25">
      <c r="A50" s="182" t="s">
        <v>468</v>
      </c>
      <c r="B50" s="182"/>
      <c r="C50" s="190"/>
      <c r="D50" s="184"/>
      <c r="E50" s="185"/>
      <c r="F50" s="186"/>
      <c r="G50" s="186"/>
      <c r="H50" s="186"/>
      <c r="I50" s="186"/>
      <c r="J50" s="191"/>
      <c r="K50" s="192"/>
      <c r="L50" s="187"/>
      <c r="M50" s="188"/>
      <c r="N50" s="188"/>
      <c r="O50" s="188"/>
      <c r="P50" s="188"/>
      <c r="Q50" s="188"/>
      <c r="R50" s="188"/>
      <c r="S50" s="188"/>
      <c r="T50" s="188"/>
      <c r="U50" s="188"/>
      <c r="V50" s="188"/>
    </row>
    <row r="51" spans="1:22" s="261" customFormat="1" ht="14.25">
      <c r="A51" s="182" t="s">
        <v>709</v>
      </c>
      <c r="B51" s="86" t="s">
        <v>437</v>
      </c>
      <c r="C51" s="183" t="s">
        <v>467</v>
      </c>
      <c r="D51" s="184" t="s">
        <v>346</v>
      </c>
      <c r="E51" s="185">
        <v>3.4</v>
      </c>
      <c r="F51" s="186"/>
      <c r="G51" s="186"/>
      <c r="H51" s="186"/>
      <c r="I51" s="186"/>
      <c r="J51" s="191"/>
      <c r="K51" s="192"/>
      <c r="L51" s="187"/>
      <c r="M51" s="188"/>
      <c r="N51" s="188"/>
      <c r="O51" s="188"/>
      <c r="P51" s="188"/>
      <c r="Q51" s="188"/>
      <c r="R51" s="188"/>
      <c r="S51" s="188"/>
      <c r="T51" s="188"/>
      <c r="U51" s="188"/>
      <c r="V51" s="188"/>
    </row>
    <row r="52" spans="1:22" s="261" customFormat="1" ht="14.25">
      <c r="A52" s="182" t="s">
        <v>711</v>
      </c>
      <c r="B52" s="182" t="s">
        <v>452</v>
      </c>
      <c r="C52" s="183" t="s">
        <v>469</v>
      </c>
      <c r="D52" s="184" t="s">
        <v>346</v>
      </c>
      <c r="E52" s="185">
        <v>3.4</v>
      </c>
      <c r="F52" s="186"/>
      <c r="G52" s="186"/>
      <c r="H52" s="186"/>
      <c r="I52" s="186"/>
      <c r="J52" s="191"/>
      <c r="K52" s="192"/>
      <c r="L52" s="187"/>
      <c r="M52" s="188"/>
      <c r="N52" s="188"/>
      <c r="O52" s="188"/>
      <c r="P52" s="188"/>
      <c r="Q52" s="188"/>
      <c r="R52" s="188"/>
      <c r="S52" s="188"/>
      <c r="T52" s="188"/>
      <c r="U52" s="188"/>
      <c r="V52" s="188"/>
    </row>
    <row r="53" spans="1:22" s="261" customFormat="1" ht="23.25">
      <c r="A53" s="182" t="s">
        <v>713</v>
      </c>
      <c r="B53" s="182"/>
      <c r="C53" s="190" t="s">
        <v>885</v>
      </c>
      <c r="D53" s="184" t="s">
        <v>23</v>
      </c>
      <c r="E53" s="185">
        <v>6</v>
      </c>
      <c r="F53" s="186"/>
      <c r="G53" s="186"/>
      <c r="H53" s="186"/>
      <c r="I53" s="186"/>
      <c r="J53" s="191"/>
      <c r="K53" s="192"/>
      <c r="L53" s="187"/>
      <c r="M53" s="188"/>
      <c r="N53" s="188"/>
      <c r="O53" s="188"/>
      <c r="P53" s="188"/>
      <c r="Q53" s="188"/>
      <c r="R53" s="188"/>
      <c r="S53" s="188"/>
      <c r="T53" s="188"/>
      <c r="U53" s="188"/>
      <c r="V53" s="188"/>
    </row>
    <row r="54" spans="1:22" s="261" customFormat="1" ht="14.25">
      <c r="A54" s="182" t="s">
        <v>886</v>
      </c>
      <c r="B54" s="86" t="s">
        <v>457</v>
      </c>
      <c r="C54" s="183" t="s">
        <v>887</v>
      </c>
      <c r="D54" s="184" t="s">
        <v>447</v>
      </c>
      <c r="E54" s="185">
        <v>14.8</v>
      </c>
      <c r="F54" s="186"/>
      <c r="G54" s="186"/>
      <c r="H54" s="186"/>
      <c r="I54" s="186"/>
      <c r="J54" s="191"/>
      <c r="K54" s="192"/>
      <c r="L54" s="187"/>
      <c r="M54" s="188"/>
      <c r="N54" s="188"/>
      <c r="O54" s="188"/>
      <c r="P54" s="188"/>
      <c r="Q54" s="188"/>
      <c r="R54" s="188"/>
      <c r="S54" s="188"/>
      <c r="T54" s="188"/>
      <c r="U54" s="188"/>
      <c r="V54" s="188"/>
    </row>
    <row r="55" spans="1:22" s="73" customFormat="1" ht="13.5">
      <c r="A55" s="79" t="s">
        <v>106</v>
      </c>
      <c r="B55" s="79"/>
      <c r="C55" s="79"/>
      <c r="D55" s="79"/>
      <c r="E55" s="79"/>
      <c r="F55" s="79"/>
      <c r="G55" s="79"/>
      <c r="H55" s="79"/>
      <c r="I55" s="79"/>
      <c r="J55" s="53"/>
      <c r="K55" s="53"/>
      <c r="L55" s="80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2" s="78" customFormat="1" ht="13.5">
      <c r="A56" s="74" t="s">
        <v>107</v>
      </c>
      <c r="B56" s="81" t="s">
        <v>108</v>
      </c>
      <c r="C56" s="81"/>
      <c r="D56" s="81"/>
      <c r="E56" s="81"/>
      <c r="F56" s="81"/>
      <c r="G56" s="81"/>
      <c r="H56" s="81"/>
      <c r="I56" s="81"/>
      <c r="J56" s="81"/>
      <c r="K56" s="81"/>
      <c r="L56" s="71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0" s="42" customFormat="1" ht="23.25">
      <c r="A57" s="37" t="s">
        <v>109</v>
      </c>
      <c r="B57" s="38" t="s">
        <v>470</v>
      </c>
      <c r="C57" s="44" t="s">
        <v>471</v>
      </c>
      <c r="D57" s="40" t="s">
        <v>23</v>
      </c>
      <c r="E57" s="41">
        <f>(1.4*15.2*2)+(1.4*6.3*2)+(1.4*3.15*4)+(1.28*15.6)+(3.15*0.2*4)</f>
        <v>100.32799999999999</v>
      </c>
      <c r="F57" s="41"/>
      <c r="G57" s="41"/>
      <c r="H57" s="41"/>
      <c r="I57" s="41"/>
      <c r="J57" s="41"/>
      <c r="K57" s="41"/>
      <c r="L57" s="36"/>
      <c r="M57" s="36"/>
      <c r="N57" s="36"/>
      <c r="O57" s="36"/>
      <c r="P57" s="36"/>
      <c r="Q57" s="36"/>
      <c r="R57" s="36"/>
      <c r="S57" s="36"/>
      <c r="T57" s="36"/>
    </row>
    <row r="58" spans="1:20" s="42" customFormat="1" ht="23.25">
      <c r="A58" s="37" t="s">
        <v>110</v>
      </c>
      <c r="B58" s="38" t="s">
        <v>472</v>
      </c>
      <c r="C58" s="44" t="s">
        <v>473</v>
      </c>
      <c r="D58" s="40" t="s">
        <v>23</v>
      </c>
      <c r="E58" s="41">
        <f>(2.85*31.2)+(3.15*0.2*4)</f>
        <v>91.44</v>
      </c>
      <c r="F58" s="41"/>
      <c r="G58" s="41"/>
      <c r="H58" s="41"/>
      <c r="I58" s="41"/>
      <c r="J58" s="41"/>
      <c r="K58" s="41"/>
      <c r="L58" s="36"/>
      <c r="M58" s="36"/>
      <c r="N58" s="36"/>
      <c r="O58" s="36"/>
      <c r="P58" s="36"/>
      <c r="Q58" s="36"/>
      <c r="R58" s="36"/>
      <c r="S58" s="36"/>
      <c r="T58" s="36"/>
    </row>
    <row r="59" spans="1:20" s="42" customFormat="1" ht="13.5">
      <c r="A59" s="37" t="s">
        <v>111</v>
      </c>
      <c r="B59" s="38" t="s">
        <v>819</v>
      </c>
      <c r="C59" s="44" t="s">
        <v>888</v>
      </c>
      <c r="D59" s="40" t="s">
        <v>189</v>
      </c>
      <c r="E59" s="41">
        <f>2*6</f>
        <v>12</v>
      </c>
      <c r="F59" s="41"/>
      <c r="G59" s="41"/>
      <c r="H59" s="41"/>
      <c r="I59" s="41"/>
      <c r="J59" s="41"/>
      <c r="K59" s="41"/>
      <c r="L59" s="36"/>
      <c r="M59" s="36"/>
      <c r="N59" s="36"/>
      <c r="O59" s="36"/>
      <c r="P59" s="36"/>
      <c r="Q59" s="36"/>
      <c r="R59" s="36"/>
      <c r="S59" s="36"/>
      <c r="T59" s="36"/>
    </row>
    <row r="60" spans="1:20" s="42" customFormat="1" ht="24.75" customHeight="1">
      <c r="A60" s="37" t="s">
        <v>112</v>
      </c>
      <c r="B60" s="38" t="s">
        <v>475</v>
      </c>
      <c r="C60" s="44" t="s">
        <v>476</v>
      </c>
      <c r="D60" s="40" t="s">
        <v>346</v>
      </c>
      <c r="E60" s="41">
        <f>(0.2*0.1)*((2.4*1)+(1.4*6)+(2.1*1))</f>
        <v>0.258</v>
      </c>
      <c r="F60" s="41"/>
      <c r="G60" s="41"/>
      <c r="H60" s="41"/>
      <c r="I60" s="41"/>
      <c r="J60" s="41"/>
      <c r="K60" s="41"/>
      <c r="L60" s="36"/>
      <c r="M60" s="36"/>
      <c r="N60" s="36"/>
      <c r="O60" s="36"/>
      <c r="P60" s="36"/>
      <c r="Q60" s="36"/>
      <c r="R60" s="36"/>
      <c r="S60" s="36"/>
      <c r="T60" s="36"/>
    </row>
    <row r="61" spans="1:22" s="73" customFormat="1" ht="13.5">
      <c r="A61" s="79" t="s">
        <v>119</v>
      </c>
      <c r="B61" s="79"/>
      <c r="C61" s="79"/>
      <c r="D61" s="79"/>
      <c r="E61" s="79"/>
      <c r="F61" s="79"/>
      <c r="G61" s="79"/>
      <c r="H61" s="79"/>
      <c r="I61" s="79"/>
      <c r="J61" s="53"/>
      <c r="K61" s="53"/>
      <c r="L61" s="80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1:20" s="42" customFormat="1" ht="15.75" customHeight="1">
      <c r="A62" s="34" t="s">
        <v>120</v>
      </c>
      <c r="B62" s="35" t="s">
        <v>121</v>
      </c>
      <c r="C62" s="35"/>
      <c r="D62" s="35"/>
      <c r="E62" s="35"/>
      <c r="F62" s="35"/>
      <c r="G62" s="35"/>
      <c r="H62" s="35"/>
      <c r="I62" s="35"/>
      <c r="J62" s="35"/>
      <c r="K62" s="35"/>
      <c r="L62" s="68"/>
      <c r="M62" s="36"/>
      <c r="N62" s="36"/>
      <c r="O62" s="36"/>
      <c r="P62" s="36"/>
      <c r="Q62" s="36"/>
      <c r="R62" s="36"/>
      <c r="S62" s="36"/>
      <c r="T62" s="36"/>
    </row>
    <row r="63" spans="1:20" s="42" customFormat="1" ht="23.25">
      <c r="A63" s="82" t="s">
        <v>122</v>
      </c>
      <c r="B63" s="38" t="s">
        <v>492</v>
      </c>
      <c r="C63" s="44" t="s">
        <v>821</v>
      </c>
      <c r="D63" s="40" t="s">
        <v>391</v>
      </c>
      <c r="E63" s="295">
        <v>1</v>
      </c>
      <c r="F63" s="83"/>
      <c r="G63" s="83"/>
      <c r="H63" s="83"/>
      <c r="I63" s="83"/>
      <c r="J63" s="83"/>
      <c r="K63" s="41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42" customFormat="1" ht="13.5">
      <c r="A64" s="82" t="s">
        <v>123</v>
      </c>
      <c r="B64" s="75" t="s">
        <v>720</v>
      </c>
      <c r="C64" s="39" t="s">
        <v>721</v>
      </c>
      <c r="D64" s="40" t="s">
        <v>391</v>
      </c>
      <c r="E64" s="83">
        <v>1</v>
      </c>
      <c r="F64" s="83"/>
      <c r="G64" s="83"/>
      <c r="H64" s="83"/>
      <c r="I64" s="83"/>
      <c r="J64" s="83"/>
      <c r="K64" s="41"/>
      <c r="L64" s="36"/>
      <c r="M64" s="36"/>
      <c r="N64" s="36"/>
      <c r="O64" s="36"/>
      <c r="P64" s="36"/>
      <c r="Q64" s="36"/>
      <c r="R64" s="36"/>
      <c r="S64" s="36"/>
      <c r="T64" s="36"/>
    </row>
    <row r="65" spans="1:20" s="42" customFormat="1" ht="13.5">
      <c r="A65" s="82" t="s">
        <v>124</v>
      </c>
      <c r="B65" s="38" t="s">
        <v>495</v>
      </c>
      <c r="C65" s="44" t="s">
        <v>496</v>
      </c>
      <c r="D65" s="40" t="s">
        <v>391</v>
      </c>
      <c r="E65" s="83">
        <v>1</v>
      </c>
      <c r="F65" s="83"/>
      <c r="G65" s="83"/>
      <c r="H65" s="83"/>
      <c r="I65" s="83"/>
      <c r="J65" s="83"/>
      <c r="K65" s="41"/>
      <c r="L65" s="36"/>
      <c r="M65" s="36"/>
      <c r="N65" s="36"/>
      <c r="O65" s="36"/>
      <c r="P65" s="36"/>
      <c r="Q65" s="36"/>
      <c r="R65" s="36"/>
      <c r="S65" s="36"/>
      <c r="T65" s="36"/>
    </row>
    <row r="66" spans="1:20" s="42" customFormat="1" ht="23.25">
      <c r="A66" s="82" t="s">
        <v>125</v>
      </c>
      <c r="B66" s="38" t="s">
        <v>492</v>
      </c>
      <c r="C66" s="44" t="s">
        <v>889</v>
      </c>
      <c r="D66" s="40" t="s">
        <v>391</v>
      </c>
      <c r="E66" s="83">
        <v>7</v>
      </c>
      <c r="F66" s="83"/>
      <c r="G66" s="83"/>
      <c r="H66" s="83"/>
      <c r="I66" s="83"/>
      <c r="J66" s="83"/>
      <c r="K66" s="41"/>
      <c r="L66" s="36"/>
      <c r="M66" s="36"/>
      <c r="N66" s="36"/>
      <c r="O66" s="36"/>
      <c r="P66" s="36"/>
      <c r="Q66" s="36"/>
      <c r="R66" s="36"/>
      <c r="S66" s="36"/>
      <c r="T66" s="36"/>
    </row>
    <row r="67" spans="1:20" s="42" customFormat="1" ht="23.25">
      <c r="A67" s="82" t="s">
        <v>126</v>
      </c>
      <c r="B67" s="38" t="s">
        <v>486</v>
      </c>
      <c r="C67" s="44" t="s">
        <v>823</v>
      </c>
      <c r="D67" s="40" t="s">
        <v>391</v>
      </c>
      <c r="E67" s="83">
        <v>6</v>
      </c>
      <c r="F67" s="83"/>
      <c r="G67" s="83"/>
      <c r="H67" s="83"/>
      <c r="I67" s="83"/>
      <c r="J67" s="83"/>
      <c r="K67" s="41"/>
      <c r="L67" s="36"/>
      <c r="M67" s="36"/>
      <c r="N67" s="36"/>
      <c r="O67" s="36"/>
      <c r="P67" s="36"/>
      <c r="Q67" s="36"/>
      <c r="R67" s="36"/>
      <c r="S67" s="36"/>
      <c r="T67" s="36"/>
    </row>
    <row r="68" spans="1:20" s="42" customFormat="1" ht="13.5">
      <c r="A68" s="82" t="s">
        <v>127</v>
      </c>
      <c r="B68" s="38" t="s">
        <v>512</v>
      </c>
      <c r="C68" s="44" t="s">
        <v>825</v>
      </c>
      <c r="D68" s="40" t="s">
        <v>391</v>
      </c>
      <c r="E68" s="41">
        <v>1</v>
      </c>
      <c r="F68" s="83"/>
      <c r="G68" s="83"/>
      <c r="H68" s="83"/>
      <c r="I68" s="83"/>
      <c r="J68" s="83"/>
      <c r="K68" s="41"/>
      <c r="L68" s="36"/>
      <c r="M68" s="36"/>
      <c r="N68" s="36"/>
      <c r="O68" s="36"/>
      <c r="P68" s="36"/>
      <c r="Q68" s="36"/>
      <c r="R68" s="36"/>
      <c r="S68" s="36"/>
      <c r="T68" s="36"/>
    </row>
    <row r="69" spans="1:20" s="42" customFormat="1" ht="15.75" customHeight="1">
      <c r="A69" s="67" t="s">
        <v>132</v>
      </c>
      <c r="B69" s="67"/>
      <c r="C69" s="67"/>
      <c r="D69" s="67"/>
      <c r="E69" s="67"/>
      <c r="F69" s="67"/>
      <c r="G69" s="67"/>
      <c r="H69" s="67"/>
      <c r="I69" s="67"/>
      <c r="J69" s="267"/>
      <c r="K69" s="267"/>
      <c r="L69" s="68"/>
      <c r="M69" s="36"/>
      <c r="N69" s="36"/>
      <c r="O69" s="36"/>
      <c r="P69" s="36"/>
      <c r="Q69" s="36"/>
      <c r="R69" s="36"/>
      <c r="S69" s="36"/>
      <c r="T69" s="36"/>
    </row>
    <row r="70" spans="1:22" s="73" customFormat="1" ht="13.5">
      <c r="A70" s="69" t="s">
        <v>133</v>
      </c>
      <c r="B70" s="85" t="s">
        <v>134</v>
      </c>
      <c r="C70" s="85"/>
      <c r="D70" s="85"/>
      <c r="E70" s="85"/>
      <c r="F70" s="85"/>
      <c r="G70" s="85"/>
      <c r="H70" s="85"/>
      <c r="I70" s="85"/>
      <c r="J70" s="85"/>
      <c r="K70" s="85"/>
      <c r="L70" s="71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1:22" s="78" customFormat="1" ht="23.25">
      <c r="A71" s="74" t="s">
        <v>135</v>
      </c>
      <c r="B71" s="120" t="s">
        <v>517</v>
      </c>
      <c r="C71" s="47" t="s">
        <v>741</v>
      </c>
      <c r="D71" s="75" t="s">
        <v>23</v>
      </c>
      <c r="E71" s="41">
        <v>67.2</v>
      </c>
      <c r="F71" s="41"/>
      <c r="G71" s="41"/>
      <c r="H71" s="41"/>
      <c r="I71" s="41"/>
      <c r="J71" s="77"/>
      <c r="K71" s="41"/>
      <c r="L71" s="71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1:22" s="78" customFormat="1" ht="23.25">
      <c r="A72" s="74" t="s">
        <v>136</v>
      </c>
      <c r="B72" s="120" t="s">
        <v>519</v>
      </c>
      <c r="C72" s="47" t="s">
        <v>520</v>
      </c>
      <c r="D72" s="75" t="s">
        <v>23</v>
      </c>
      <c r="E72" s="41">
        <f>E71*1.005</f>
        <v>67.536</v>
      </c>
      <c r="F72" s="41"/>
      <c r="G72" s="41"/>
      <c r="H72" s="41"/>
      <c r="I72" s="41"/>
      <c r="J72" s="77"/>
      <c r="K72" s="41"/>
      <c r="L72" s="71"/>
      <c r="M72" s="72"/>
      <c r="N72" s="72"/>
      <c r="O72" s="72"/>
      <c r="P72" s="72"/>
      <c r="Q72" s="72"/>
      <c r="R72" s="72"/>
      <c r="S72" s="72"/>
      <c r="T72" s="72"/>
      <c r="U72" s="72"/>
      <c r="V72" s="72"/>
    </row>
    <row r="73" spans="1:22" s="78" customFormat="1" ht="13.5">
      <c r="A73" s="74" t="s">
        <v>137</v>
      </c>
      <c r="B73" s="120">
        <v>72104</v>
      </c>
      <c r="C73" s="47" t="s">
        <v>521</v>
      </c>
      <c r="D73" s="75" t="s">
        <v>189</v>
      </c>
      <c r="E73" s="39">
        <f>(2*8.9)*1.005</f>
        <v>17.889</v>
      </c>
      <c r="F73" s="41"/>
      <c r="G73" s="41"/>
      <c r="H73" s="41"/>
      <c r="I73" s="41"/>
      <c r="J73" s="77"/>
      <c r="K73" s="41"/>
      <c r="L73" s="71"/>
      <c r="M73" s="72"/>
      <c r="N73" s="72"/>
      <c r="O73" s="72"/>
      <c r="P73" s="72"/>
      <c r="Q73" s="72"/>
      <c r="R73" s="72"/>
      <c r="S73" s="72"/>
      <c r="T73" s="72"/>
      <c r="U73" s="72"/>
      <c r="V73" s="72"/>
    </row>
    <row r="74" spans="1:22" s="78" customFormat="1" ht="13.5">
      <c r="A74" s="74" t="s">
        <v>138</v>
      </c>
      <c r="B74" s="120">
        <v>72104</v>
      </c>
      <c r="C74" s="46" t="s">
        <v>523</v>
      </c>
      <c r="D74" s="75" t="s">
        <v>189</v>
      </c>
      <c r="E74" s="295">
        <v>6.4</v>
      </c>
      <c r="F74" s="41"/>
      <c r="G74" s="41"/>
      <c r="H74" s="41"/>
      <c r="I74" s="41"/>
      <c r="J74" s="77"/>
      <c r="K74" s="41"/>
      <c r="L74" s="71"/>
      <c r="M74" s="72"/>
      <c r="N74" s="72"/>
      <c r="O74" s="72"/>
      <c r="P74" s="72"/>
      <c r="Q74" s="72"/>
      <c r="R74" s="72"/>
      <c r="S74" s="72"/>
      <c r="T74" s="72"/>
      <c r="U74" s="72"/>
      <c r="V74" s="72"/>
    </row>
    <row r="75" spans="1:22" s="78" customFormat="1" ht="13.5">
      <c r="A75" s="74" t="s">
        <v>139</v>
      </c>
      <c r="B75" s="120">
        <v>72106</v>
      </c>
      <c r="C75" s="46" t="s">
        <v>522</v>
      </c>
      <c r="D75" s="75" t="s">
        <v>189</v>
      </c>
      <c r="E75" s="41">
        <f>(2*8.9)*1.005</f>
        <v>17.889</v>
      </c>
      <c r="F75" s="41"/>
      <c r="G75" s="41"/>
      <c r="H75" s="41"/>
      <c r="I75" s="41"/>
      <c r="J75" s="77"/>
      <c r="K75" s="41"/>
      <c r="L75" s="71"/>
      <c r="M75" s="72"/>
      <c r="N75" s="72"/>
      <c r="O75" s="72"/>
      <c r="P75" s="72"/>
      <c r="Q75" s="72"/>
      <c r="R75" s="72"/>
      <c r="S75" s="72"/>
      <c r="T75" s="72"/>
      <c r="U75" s="72"/>
      <c r="V75" s="72"/>
    </row>
    <row r="76" spans="1:22" s="73" customFormat="1" ht="14.25">
      <c r="A76" s="79" t="s">
        <v>145</v>
      </c>
      <c r="B76" s="79"/>
      <c r="C76" s="79"/>
      <c r="D76" s="79"/>
      <c r="E76" s="79"/>
      <c r="F76" s="79"/>
      <c r="G76" s="79"/>
      <c r="H76" s="79"/>
      <c r="I76" s="79"/>
      <c r="J76" s="267"/>
      <c r="K76" s="267"/>
      <c r="L76" s="80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0" s="42" customFormat="1" ht="13.5">
      <c r="A77" s="37" t="s">
        <v>146</v>
      </c>
      <c r="B77" s="55" t="s">
        <v>147</v>
      </c>
      <c r="C77" s="55"/>
      <c r="D77" s="55"/>
      <c r="E77" s="55"/>
      <c r="F77" s="55"/>
      <c r="G77" s="55"/>
      <c r="H77" s="55"/>
      <c r="I77" s="55"/>
      <c r="J77" s="55"/>
      <c r="K77" s="55"/>
      <c r="L77" s="68"/>
      <c r="M77" s="36"/>
      <c r="N77" s="36"/>
      <c r="O77" s="36"/>
      <c r="P77" s="36"/>
      <c r="Q77" s="36"/>
      <c r="R77" s="36"/>
      <c r="S77" s="36"/>
      <c r="T77" s="36"/>
    </row>
    <row r="78" spans="1:20" s="91" customFormat="1" ht="14.25">
      <c r="A78" s="86" t="s">
        <v>148</v>
      </c>
      <c r="B78" s="202" t="s">
        <v>524</v>
      </c>
      <c r="C78" s="271" t="s">
        <v>525</v>
      </c>
      <c r="D78" s="272" t="s">
        <v>189</v>
      </c>
      <c r="E78" s="88">
        <v>176.86</v>
      </c>
      <c r="F78" s="271"/>
      <c r="G78" s="83"/>
      <c r="H78" s="271"/>
      <c r="I78" s="83"/>
      <c r="J78" s="83"/>
      <c r="K78" s="83"/>
      <c r="L78" s="90"/>
      <c r="M78" s="90"/>
      <c r="N78" s="90"/>
      <c r="O78" s="90"/>
      <c r="P78" s="90"/>
      <c r="Q78" s="90"/>
      <c r="R78" s="90"/>
      <c r="S78" s="90"/>
      <c r="T78" s="90"/>
    </row>
    <row r="79" spans="1:20" s="91" customFormat="1" ht="14.25">
      <c r="A79" s="86" t="s">
        <v>149</v>
      </c>
      <c r="B79" s="203"/>
      <c r="C79" s="230" t="s">
        <v>530</v>
      </c>
      <c r="D79" s="177" t="s">
        <v>391</v>
      </c>
      <c r="E79" s="41">
        <v>10</v>
      </c>
      <c r="F79" s="41"/>
      <c r="G79" s="41"/>
      <c r="H79" s="41"/>
      <c r="I79" s="41"/>
      <c r="J79" s="41"/>
      <c r="K79" s="83"/>
      <c r="L79" s="90"/>
      <c r="M79" s="90"/>
      <c r="N79" s="90"/>
      <c r="O79" s="90"/>
      <c r="P79" s="90"/>
      <c r="Q79" s="90"/>
      <c r="R79" s="90"/>
      <c r="S79" s="90"/>
      <c r="T79" s="90"/>
    </row>
    <row r="80" spans="1:20" s="91" customFormat="1" ht="14.25">
      <c r="A80" s="86" t="s">
        <v>150</v>
      </c>
      <c r="B80" s="203"/>
      <c r="C80" s="204" t="s">
        <v>531</v>
      </c>
      <c r="D80" s="177" t="s">
        <v>391</v>
      </c>
      <c r="E80" s="205">
        <v>10</v>
      </c>
      <c r="F80" s="41"/>
      <c r="G80" s="41"/>
      <c r="H80" s="206"/>
      <c r="I80" s="41"/>
      <c r="J80" s="41"/>
      <c r="K80" s="83"/>
      <c r="L80" s="90"/>
      <c r="M80" s="90"/>
      <c r="N80" s="90"/>
      <c r="O80" s="90"/>
      <c r="P80" s="90"/>
      <c r="Q80" s="90"/>
      <c r="R80" s="90"/>
      <c r="S80" s="90"/>
      <c r="T80" s="90"/>
    </row>
    <row r="81" spans="1:20" s="91" customFormat="1" ht="14.25">
      <c r="A81" s="86" t="s">
        <v>151</v>
      </c>
      <c r="B81" s="203"/>
      <c r="C81" s="230" t="s">
        <v>532</v>
      </c>
      <c r="D81" s="177" t="s">
        <v>189</v>
      </c>
      <c r="E81" s="41">
        <v>61.41</v>
      </c>
      <c r="F81" s="41"/>
      <c r="G81" s="41"/>
      <c r="H81" s="41"/>
      <c r="I81" s="41"/>
      <c r="J81" s="41"/>
      <c r="K81" s="83"/>
      <c r="L81" s="90"/>
      <c r="M81" s="90"/>
      <c r="N81" s="90"/>
      <c r="O81" s="90"/>
      <c r="P81" s="90"/>
      <c r="Q81" s="90"/>
      <c r="R81" s="90"/>
      <c r="S81" s="90"/>
      <c r="T81" s="90"/>
    </row>
    <row r="82" spans="1:20" s="91" customFormat="1" ht="14.25">
      <c r="A82" s="86" t="s">
        <v>152</v>
      </c>
      <c r="B82" s="203"/>
      <c r="C82" s="230" t="s">
        <v>535</v>
      </c>
      <c r="D82" s="177" t="s">
        <v>391</v>
      </c>
      <c r="E82" s="41">
        <v>4</v>
      </c>
      <c r="F82" s="41"/>
      <c r="G82" s="41"/>
      <c r="H82" s="41"/>
      <c r="I82" s="41"/>
      <c r="J82" s="41"/>
      <c r="K82" s="83"/>
      <c r="L82" s="90"/>
      <c r="M82" s="90"/>
      <c r="N82" s="90"/>
      <c r="O82" s="90"/>
      <c r="P82" s="90"/>
      <c r="Q82" s="90"/>
      <c r="R82" s="90"/>
      <c r="S82" s="90"/>
      <c r="T82" s="90"/>
    </row>
    <row r="83" spans="1:20" s="91" customFormat="1" ht="14.25">
      <c r="A83" s="86" t="s">
        <v>153</v>
      </c>
      <c r="B83" s="203"/>
      <c r="C83" s="230" t="s">
        <v>747</v>
      </c>
      <c r="D83" s="177" t="s">
        <v>391</v>
      </c>
      <c r="E83" s="41">
        <v>1</v>
      </c>
      <c r="F83" s="41"/>
      <c r="G83" s="41"/>
      <c r="H83" s="41"/>
      <c r="I83" s="41"/>
      <c r="J83" s="41"/>
      <c r="K83" s="83"/>
      <c r="L83" s="90"/>
      <c r="M83" s="90"/>
      <c r="N83" s="90"/>
      <c r="O83" s="90"/>
      <c r="P83" s="90"/>
      <c r="Q83" s="90"/>
      <c r="R83" s="90"/>
      <c r="S83" s="90"/>
      <c r="T83" s="90"/>
    </row>
    <row r="84" spans="1:20" s="91" customFormat="1" ht="14.25">
      <c r="A84" s="86" t="s">
        <v>154</v>
      </c>
      <c r="B84" s="203"/>
      <c r="C84" s="211" t="s">
        <v>542</v>
      </c>
      <c r="D84" s="177" t="s">
        <v>391</v>
      </c>
      <c r="E84" s="41">
        <v>3</v>
      </c>
      <c r="F84" s="211"/>
      <c r="G84" s="41"/>
      <c r="H84" s="41"/>
      <c r="I84" s="41"/>
      <c r="J84" s="41"/>
      <c r="K84" s="83"/>
      <c r="L84" s="90"/>
      <c r="M84" s="90"/>
      <c r="N84" s="90"/>
      <c r="O84" s="90"/>
      <c r="P84" s="90"/>
      <c r="Q84" s="90"/>
      <c r="R84" s="90"/>
      <c r="S84" s="90"/>
      <c r="T84" s="90"/>
    </row>
    <row r="85" spans="1:20" s="91" customFormat="1" ht="14.25">
      <c r="A85" s="86" t="s">
        <v>155</v>
      </c>
      <c r="B85" s="203"/>
      <c r="C85" s="211" t="s">
        <v>544</v>
      </c>
      <c r="D85" s="177" t="s">
        <v>391</v>
      </c>
      <c r="E85" s="41">
        <v>13</v>
      </c>
      <c r="F85" s="211"/>
      <c r="G85" s="41"/>
      <c r="H85" s="211"/>
      <c r="I85" s="41"/>
      <c r="J85" s="41"/>
      <c r="K85" s="83"/>
      <c r="L85" s="90"/>
      <c r="M85" s="90"/>
      <c r="N85" s="90"/>
      <c r="O85" s="90"/>
      <c r="P85" s="90"/>
      <c r="Q85" s="90"/>
      <c r="R85" s="90"/>
      <c r="S85" s="90"/>
      <c r="T85" s="90"/>
    </row>
    <row r="86" spans="1:20" s="91" customFormat="1" ht="14.25">
      <c r="A86" s="86" t="s">
        <v>156</v>
      </c>
      <c r="B86" s="214" t="s">
        <v>546</v>
      </c>
      <c r="C86" s="211" t="s">
        <v>547</v>
      </c>
      <c r="D86" s="177" t="s">
        <v>391</v>
      </c>
      <c r="E86" s="41">
        <v>4</v>
      </c>
      <c r="F86" s="41"/>
      <c r="G86" s="41"/>
      <c r="H86" s="211"/>
      <c r="I86" s="41"/>
      <c r="J86" s="41"/>
      <c r="K86" s="83"/>
      <c r="L86" s="90"/>
      <c r="M86" s="90"/>
      <c r="N86" s="90"/>
      <c r="O86" s="90"/>
      <c r="P86" s="90"/>
      <c r="Q86" s="90"/>
      <c r="R86" s="90"/>
      <c r="S86" s="90"/>
      <c r="T86" s="90"/>
    </row>
    <row r="87" spans="1:20" s="91" customFormat="1" ht="14.25">
      <c r="A87" s="86" t="s">
        <v>157</v>
      </c>
      <c r="B87" s="203"/>
      <c r="C87" s="211" t="s">
        <v>556</v>
      </c>
      <c r="D87" s="177" t="s">
        <v>391</v>
      </c>
      <c r="E87" s="41">
        <v>1</v>
      </c>
      <c r="F87" s="41"/>
      <c r="G87" s="41"/>
      <c r="H87" s="211"/>
      <c r="I87" s="41"/>
      <c r="J87" s="41"/>
      <c r="K87" s="83"/>
      <c r="L87" s="90"/>
      <c r="M87" s="90"/>
      <c r="N87" s="90"/>
      <c r="O87" s="90"/>
      <c r="P87" s="90"/>
      <c r="Q87" s="90"/>
      <c r="R87" s="90"/>
      <c r="S87" s="90"/>
      <c r="T87" s="90"/>
    </row>
    <row r="88" spans="1:20" s="91" customFormat="1" ht="14.25">
      <c r="A88" s="86" t="s">
        <v>537</v>
      </c>
      <c r="B88" s="203"/>
      <c r="C88" s="211" t="s">
        <v>875</v>
      </c>
      <c r="D88" s="177" t="s">
        <v>391</v>
      </c>
      <c r="E88" s="41">
        <v>1</v>
      </c>
      <c r="F88" s="41"/>
      <c r="G88" s="41"/>
      <c r="H88" s="211"/>
      <c r="I88" s="41"/>
      <c r="J88" s="41"/>
      <c r="K88" s="83"/>
      <c r="L88" s="90"/>
      <c r="M88" s="90"/>
      <c r="N88" s="90"/>
      <c r="O88" s="90"/>
      <c r="P88" s="90"/>
      <c r="Q88" s="90"/>
      <c r="R88" s="90"/>
      <c r="S88" s="90"/>
      <c r="T88" s="90"/>
    </row>
    <row r="89" spans="1:20" ht="14.25" customHeight="1">
      <c r="A89" s="67" t="s">
        <v>158</v>
      </c>
      <c r="B89" s="67"/>
      <c r="C89" s="67"/>
      <c r="D89" s="67"/>
      <c r="E89" s="67"/>
      <c r="F89" s="67"/>
      <c r="G89" s="67"/>
      <c r="H89" s="67"/>
      <c r="I89" s="67"/>
      <c r="J89" s="267"/>
      <c r="K89" s="260"/>
      <c r="L89" s="36"/>
      <c r="M89" s="36"/>
      <c r="N89" s="36"/>
      <c r="O89" s="36"/>
      <c r="P89" s="36"/>
      <c r="Q89" s="36"/>
      <c r="R89" s="36"/>
      <c r="S89" s="36"/>
      <c r="T89" s="36"/>
    </row>
    <row r="90" spans="1:20" s="42" customFormat="1" ht="13.5">
      <c r="A90" s="34" t="s">
        <v>159</v>
      </c>
      <c r="B90" s="95" t="s">
        <v>160</v>
      </c>
      <c r="C90" s="95"/>
      <c r="D90" s="95"/>
      <c r="E90" s="95"/>
      <c r="F90" s="95"/>
      <c r="G90" s="95"/>
      <c r="H90" s="95"/>
      <c r="I90" s="95"/>
      <c r="J90" s="95"/>
      <c r="K90" s="95"/>
      <c r="L90" s="36"/>
      <c r="M90" s="36"/>
      <c r="N90" s="36"/>
      <c r="O90" s="36"/>
      <c r="P90" s="36"/>
      <c r="Q90" s="36"/>
      <c r="R90" s="36"/>
      <c r="S90" s="36"/>
      <c r="T90" s="36"/>
    </row>
    <row r="91" spans="1:20" s="42" customFormat="1" ht="13.5">
      <c r="A91" s="37" t="s">
        <v>161</v>
      </c>
      <c r="B91" s="37"/>
      <c r="C91" s="204" t="s">
        <v>560</v>
      </c>
      <c r="D91" s="281" t="s">
        <v>189</v>
      </c>
      <c r="E91" s="218">
        <v>30</v>
      </c>
      <c r="F91" s="41"/>
      <c r="G91" s="41"/>
      <c r="H91" s="41"/>
      <c r="I91" s="41"/>
      <c r="J91" s="41"/>
      <c r="K91" s="83"/>
      <c r="L91" s="36"/>
      <c r="M91" s="36"/>
      <c r="N91" s="36"/>
      <c r="O91" s="36"/>
      <c r="P91" s="36"/>
      <c r="Q91" s="36"/>
      <c r="R91" s="36"/>
      <c r="S91" s="36"/>
      <c r="T91" s="36"/>
    </row>
    <row r="92" spans="1:20" s="42" customFormat="1" ht="13.5">
      <c r="A92" s="37" t="s">
        <v>162</v>
      </c>
      <c r="B92" s="37"/>
      <c r="C92" s="204" t="s">
        <v>561</v>
      </c>
      <c r="D92" s="177" t="s">
        <v>391</v>
      </c>
      <c r="E92" s="218">
        <v>1</v>
      </c>
      <c r="F92" s="206"/>
      <c r="G92" s="41"/>
      <c r="H92" s="206"/>
      <c r="I92" s="41"/>
      <c r="J92" s="41"/>
      <c r="K92" s="83"/>
      <c r="L92" s="36"/>
      <c r="M92" s="36"/>
      <c r="N92" s="36"/>
      <c r="O92" s="36"/>
      <c r="P92" s="36"/>
      <c r="Q92" s="36"/>
      <c r="R92" s="36"/>
      <c r="S92" s="36"/>
      <c r="T92" s="36"/>
    </row>
    <row r="93" spans="1:20" s="42" customFormat="1" ht="13.5">
      <c r="A93" s="37" t="s">
        <v>163</v>
      </c>
      <c r="B93" s="37"/>
      <c r="C93" s="204" t="s">
        <v>562</v>
      </c>
      <c r="D93" s="177" t="s">
        <v>391</v>
      </c>
      <c r="E93" s="218">
        <v>1</v>
      </c>
      <c r="F93" s="206"/>
      <c r="G93" s="41"/>
      <c r="H93" s="206"/>
      <c r="I93" s="41"/>
      <c r="J93" s="41"/>
      <c r="K93" s="83"/>
      <c r="L93" s="36"/>
      <c r="M93" s="36"/>
      <c r="N93" s="36"/>
      <c r="O93" s="36"/>
      <c r="P93" s="36"/>
      <c r="Q93" s="36"/>
      <c r="R93" s="36"/>
      <c r="S93" s="36"/>
      <c r="T93" s="36"/>
    </row>
    <row r="94" spans="1:20" s="42" customFormat="1" ht="23.25">
      <c r="A94" s="37" t="s">
        <v>164</v>
      </c>
      <c r="B94" s="37"/>
      <c r="C94" s="277" t="s">
        <v>563</v>
      </c>
      <c r="D94" s="283" t="s">
        <v>391</v>
      </c>
      <c r="E94" s="218">
        <v>1</v>
      </c>
      <c r="F94" s="206"/>
      <c r="G94" s="220"/>
      <c r="H94" s="206"/>
      <c r="I94" s="220"/>
      <c r="J94" s="220"/>
      <c r="K94" s="83"/>
      <c r="L94" s="36"/>
      <c r="M94" s="36"/>
      <c r="N94" s="36"/>
      <c r="O94" s="36"/>
      <c r="P94" s="36"/>
      <c r="Q94" s="36"/>
      <c r="R94" s="36"/>
      <c r="S94" s="36"/>
      <c r="T94" s="36"/>
    </row>
    <row r="95" spans="1:20" s="42" customFormat="1" ht="13.5">
      <c r="A95" s="37" t="s">
        <v>165</v>
      </c>
      <c r="B95" s="37"/>
      <c r="C95" s="204" t="s">
        <v>564</v>
      </c>
      <c r="D95" s="281" t="s">
        <v>189</v>
      </c>
      <c r="E95" s="218">
        <v>60.3</v>
      </c>
      <c r="F95" s="206"/>
      <c r="G95" s="41"/>
      <c r="H95" s="206"/>
      <c r="I95" s="41"/>
      <c r="J95" s="41"/>
      <c r="K95" s="83"/>
      <c r="L95" s="36"/>
      <c r="M95" s="36"/>
      <c r="N95" s="36"/>
      <c r="O95" s="36"/>
      <c r="P95" s="36"/>
      <c r="Q95" s="36"/>
      <c r="R95" s="36"/>
      <c r="S95" s="36"/>
      <c r="T95" s="36"/>
    </row>
    <row r="96" spans="1:20" s="42" customFormat="1" ht="13.5">
      <c r="A96" s="37" t="s">
        <v>166</v>
      </c>
      <c r="B96" s="37"/>
      <c r="C96" s="331" t="s">
        <v>565</v>
      </c>
      <c r="D96" s="314" t="s">
        <v>189</v>
      </c>
      <c r="E96" s="223">
        <v>60.3</v>
      </c>
      <c r="F96" s="315"/>
      <c r="G96" s="41"/>
      <c r="H96" s="315"/>
      <c r="I96" s="41"/>
      <c r="J96" s="41"/>
      <c r="K96" s="83"/>
      <c r="L96" s="36"/>
      <c r="M96" s="36"/>
      <c r="N96" s="36"/>
      <c r="O96" s="36"/>
      <c r="P96" s="36"/>
      <c r="Q96" s="36"/>
      <c r="R96" s="36"/>
      <c r="S96" s="36"/>
      <c r="T96" s="36"/>
    </row>
    <row r="97" spans="1:20" s="42" customFormat="1" ht="13.5">
      <c r="A97" s="37" t="s">
        <v>167</v>
      </c>
      <c r="B97" s="37"/>
      <c r="C97" s="332" t="s">
        <v>530</v>
      </c>
      <c r="D97" s="177" t="s">
        <v>391</v>
      </c>
      <c r="E97" s="178">
        <v>2</v>
      </c>
      <c r="F97" s="41"/>
      <c r="G97" s="41"/>
      <c r="H97" s="41"/>
      <c r="I97" s="41"/>
      <c r="J97" s="41"/>
      <c r="K97" s="83"/>
      <c r="L97" s="36"/>
      <c r="M97" s="36"/>
      <c r="N97" s="36"/>
      <c r="O97" s="36"/>
      <c r="P97" s="36"/>
      <c r="Q97" s="36"/>
      <c r="R97" s="36"/>
      <c r="S97" s="36"/>
      <c r="T97" s="36"/>
    </row>
    <row r="98" spans="1:20" s="42" customFormat="1" ht="13.5">
      <c r="A98" s="100" t="s">
        <v>171</v>
      </c>
      <c r="B98" s="100"/>
      <c r="C98" s="100"/>
      <c r="D98" s="100"/>
      <c r="E98" s="100"/>
      <c r="F98" s="100"/>
      <c r="G98" s="100"/>
      <c r="H98" s="100"/>
      <c r="I98" s="100"/>
      <c r="J98" s="320"/>
      <c r="K98" s="320"/>
      <c r="L98" s="36"/>
      <c r="M98" s="36"/>
      <c r="N98" s="36"/>
      <c r="O98" s="36"/>
      <c r="P98" s="36"/>
      <c r="Q98" s="36"/>
      <c r="R98" s="36"/>
      <c r="S98" s="36"/>
      <c r="T98" s="36"/>
    </row>
    <row r="99" spans="1:20" s="42" customFormat="1" ht="13.5">
      <c r="A99" s="34" t="s">
        <v>172</v>
      </c>
      <c r="B99" s="55" t="s">
        <v>173</v>
      </c>
      <c r="C99" s="55"/>
      <c r="D99" s="55"/>
      <c r="E99" s="55"/>
      <c r="F99" s="55"/>
      <c r="G99" s="55"/>
      <c r="H99" s="55"/>
      <c r="I99" s="55"/>
      <c r="J99" s="55"/>
      <c r="K99" s="55"/>
      <c r="L99" s="36"/>
      <c r="M99" s="36"/>
      <c r="N99" s="36"/>
      <c r="O99" s="36"/>
      <c r="P99" s="36"/>
      <c r="Q99" s="36"/>
      <c r="R99" s="36"/>
      <c r="S99" s="36"/>
      <c r="T99" s="36"/>
    </row>
    <row r="100" spans="1:20" s="42" customFormat="1" ht="13.5">
      <c r="A100" s="37" t="s">
        <v>174</v>
      </c>
      <c r="B100" s="210" t="s">
        <v>194</v>
      </c>
      <c r="C100" s="211" t="s">
        <v>566</v>
      </c>
      <c r="D100" s="177" t="s">
        <v>189</v>
      </c>
      <c r="E100" s="41">
        <v>58.4</v>
      </c>
      <c r="F100" s="41"/>
      <c r="G100" s="41"/>
      <c r="H100" s="41"/>
      <c r="I100" s="41"/>
      <c r="J100" s="41"/>
      <c r="K100" s="83"/>
      <c r="L100" s="36"/>
      <c r="M100" s="36"/>
      <c r="N100" s="278"/>
      <c r="O100" s="228"/>
      <c r="P100" s="36"/>
      <c r="Q100" s="36"/>
      <c r="R100" s="36"/>
      <c r="S100" s="36"/>
      <c r="T100" s="36"/>
    </row>
    <row r="101" spans="1:20" s="42" customFormat="1" ht="13.5">
      <c r="A101" s="37" t="s">
        <v>175</v>
      </c>
      <c r="B101" s="210" t="s">
        <v>569</v>
      </c>
      <c r="C101" s="211" t="s">
        <v>570</v>
      </c>
      <c r="D101" s="177" t="s">
        <v>189</v>
      </c>
      <c r="E101" s="41">
        <v>7.4</v>
      </c>
      <c r="F101" s="41"/>
      <c r="G101" s="41"/>
      <c r="H101" s="41"/>
      <c r="I101" s="41"/>
      <c r="J101" s="41"/>
      <c r="K101" s="83"/>
      <c r="L101" s="36"/>
      <c r="M101" s="36"/>
      <c r="N101" s="278"/>
      <c r="O101" s="228"/>
      <c r="P101" s="36"/>
      <c r="Q101" s="36"/>
      <c r="R101" s="36"/>
      <c r="S101" s="36"/>
      <c r="T101" s="36"/>
    </row>
    <row r="102" spans="1:20" s="42" customFormat="1" ht="13.5">
      <c r="A102" s="37" t="s">
        <v>176</v>
      </c>
      <c r="B102" s="210" t="s">
        <v>573</v>
      </c>
      <c r="C102" s="211" t="s">
        <v>574</v>
      </c>
      <c r="D102" s="177" t="s">
        <v>189</v>
      </c>
      <c r="E102" s="41">
        <v>47.69</v>
      </c>
      <c r="F102" s="41"/>
      <c r="G102" s="41"/>
      <c r="H102" s="41"/>
      <c r="I102" s="41"/>
      <c r="J102" s="41"/>
      <c r="K102" s="83"/>
      <c r="L102" s="36"/>
      <c r="M102" s="36"/>
      <c r="N102" s="278"/>
      <c r="O102" s="228"/>
      <c r="P102" s="36"/>
      <c r="Q102" s="36"/>
      <c r="R102" s="36"/>
      <c r="S102" s="36"/>
      <c r="T102" s="36"/>
    </row>
    <row r="103" spans="1:20" s="42" customFormat="1" ht="13.5">
      <c r="A103" s="37" t="s">
        <v>177</v>
      </c>
      <c r="B103" s="210" t="s">
        <v>579</v>
      </c>
      <c r="C103" s="211" t="s">
        <v>580</v>
      </c>
      <c r="D103" s="177" t="s">
        <v>189</v>
      </c>
      <c r="E103" s="41">
        <v>10.93</v>
      </c>
      <c r="F103" s="41"/>
      <c r="G103" s="41"/>
      <c r="H103" s="41"/>
      <c r="I103" s="41"/>
      <c r="J103" s="41"/>
      <c r="K103" s="83"/>
      <c r="L103" s="36"/>
      <c r="M103" s="36"/>
      <c r="N103" s="278"/>
      <c r="O103" s="228"/>
      <c r="P103" s="36"/>
      <c r="Q103" s="36"/>
      <c r="R103" s="36"/>
      <c r="S103" s="36"/>
      <c r="T103" s="36"/>
    </row>
    <row r="104" spans="1:20" s="42" customFormat="1" ht="13.5">
      <c r="A104" s="37" t="s">
        <v>178</v>
      </c>
      <c r="B104" s="210">
        <v>72557</v>
      </c>
      <c r="C104" s="211" t="s">
        <v>581</v>
      </c>
      <c r="D104" s="177" t="s">
        <v>391</v>
      </c>
      <c r="E104" s="41">
        <v>5</v>
      </c>
      <c r="F104" s="41"/>
      <c r="G104" s="41"/>
      <c r="H104" s="41"/>
      <c r="I104" s="41"/>
      <c r="J104" s="41"/>
      <c r="K104" s="83"/>
      <c r="L104" s="36"/>
      <c r="M104" s="36"/>
      <c r="N104" s="278"/>
      <c r="O104" s="228"/>
      <c r="P104" s="36"/>
      <c r="Q104" s="36"/>
      <c r="R104" s="36"/>
      <c r="S104" s="36"/>
      <c r="T104" s="36"/>
    </row>
    <row r="105" spans="1:20" s="42" customFormat="1" ht="13.5">
      <c r="A105" s="37" t="s">
        <v>179</v>
      </c>
      <c r="B105" s="202">
        <v>72560</v>
      </c>
      <c r="C105" s="211" t="s">
        <v>585</v>
      </c>
      <c r="D105" s="177" t="s">
        <v>391</v>
      </c>
      <c r="E105" s="41">
        <v>3</v>
      </c>
      <c r="F105" s="41"/>
      <c r="G105" s="41"/>
      <c r="H105" s="41"/>
      <c r="I105" s="41"/>
      <c r="J105" s="41"/>
      <c r="K105" s="83"/>
      <c r="L105" s="36"/>
      <c r="M105" s="36"/>
      <c r="N105" s="278"/>
      <c r="O105" s="228"/>
      <c r="P105" s="36"/>
      <c r="Q105" s="36"/>
      <c r="R105" s="36"/>
      <c r="S105" s="36"/>
      <c r="T105" s="36"/>
    </row>
    <row r="106" spans="1:20" s="42" customFormat="1" ht="13.5">
      <c r="A106" s="37" t="s">
        <v>180</v>
      </c>
      <c r="B106" s="202">
        <v>72573</v>
      </c>
      <c r="C106" s="211" t="s">
        <v>587</v>
      </c>
      <c r="D106" s="177" t="s">
        <v>391</v>
      </c>
      <c r="E106" s="41">
        <v>12</v>
      </c>
      <c r="F106" s="41"/>
      <c r="G106" s="41"/>
      <c r="H106" s="41"/>
      <c r="I106" s="41"/>
      <c r="J106" s="41"/>
      <c r="K106" s="83"/>
      <c r="L106" s="36"/>
      <c r="M106" s="36"/>
      <c r="N106" s="278"/>
      <c r="O106" s="228"/>
      <c r="P106" s="36"/>
      <c r="Q106" s="36"/>
      <c r="R106" s="36"/>
      <c r="S106" s="36"/>
      <c r="T106" s="36"/>
    </row>
    <row r="107" spans="1:20" s="42" customFormat="1" ht="13.5">
      <c r="A107" s="37" t="s">
        <v>181</v>
      </c>
      <c r="B107" s="202">
        <v>72580</v>
      </c>
      <c r="C107" s="211" t="s">
        <v>589</v>
      </c>
      <c r="D107" s="177" t="s">
        <v>391</v>
      </c>
      <c r="E107" s="41">
        <v>3</v>
      </c>
      <c r="F107" s="41"/>
      <c r="G107" s="41"/>
      <c r="H107" s="41"/>
      <c r="I107" s="41"/>
      <c r="J107" s="41"/>
      <c r="K107" s="83"/>
      <c r="L107" s="36"/>
      <c r="M107" s="36"/>
      <c r="N107" s="278"/>
      <c r="O107" s="228"/>
      <c r="P107" s="36"/>
      <c r="Q107" s="36"/>
      <c r="R107" s="36"/>
      <c r="S107" s="36"/>
      <c r="T107" s="36"/>
    </row>
    <row r="108" spans="1:20" s="42" customFormat="1" ht="13.5">
      <c r="A108" s="37" t="s">
        <v>182</v>
      </c>
      <c r="B108" s="37"/>
      <c r="C108" s="211" t="s">
        <v>763</v>
      </c>
      <c r="D108" s="177" t="s">
        <v>391</v>
      </c>
      <c r="E108" s="41">
        <v>5</v>
      </c>
      <c r="F108" s="41"/>
      <c r="G108" s="41"/>
      <c r="H108" s="41"/>
      <c r="I108" s="41"/>
      <c r="J108" s="41"/>
      <c r="K108" s="83"/>
      <c r="L108" s="36"/>
      <c r="M108" s="36"/>
      <c r="N108" s="278"/>
      <c r="O108" s="228"/>
      <c r="P108" s="36"/>
      <c r="Q108" s="36"/>
      <c r="R108" s="36"/>
      <c r="S108" s="36"/>
      <c r="T108" s="36"/>
    </row>
    <row r="109" spans="1:20" s="42" customFormat="1" ht="13.5">
      <c r="A109" s="37" t="s">
        <v>183</v>
      </c>
      <c r="B109" s="37"/>
      <c r="C109" s="211" t="s">
        <v>591</v>
      </c>
      <c r="D109" s="177" t="s">
        <v>391</v>
      </c>
      <c r="E109" s="41">
        <v>5</v>
      </c>
      <c r="F109" s="41"/>
      <c r="G109" s="41"/>
      <c r="H109" s="41"/>
      <c r="I109" s="41"/>
      <c r="J109" s="41"/>
      <c r="K109" s="83"/>
      <c r="L109" s="36"/>
      <c r="M109" s="36"/>
      <c r="N109" s="278"/>
      <c r="O109" s="228"/>
      <c r="P109" s="36"/>
      <c r="Q109" s="36"/>
      <c r="R109" s="36"/>
      <c r="S109" s="36"/>
      <c r="T109" s="36"/>
    </row>
    <row r="110" spans="1:20" s="42" customFormat="1" ht="13.5">
      <c r="A110" s="37" t="s">
        <v>184</v>
      </c>
      <c r="B110" s="37"/>
      <c r="C110" s="211" t="s">
        <v>595</v>
      </c>
      <c r="D110" s="177" t="s">
        <v>391</v>
      </c>
      <c r="E110" s="41">
        <v>3</v>
      </c>
      <c r="F110" s="41"/>
      <c r="G110" s="41"/>
      <c r="H110" s="41"/>
      <c r="I110" s="41"/>
      <c r="J110" s="41"/>
      <c r="K110" s="83"/>
      <c r="L110" s="36"/>
      <c r="M110" s="36"/>
      <c r="N110" s="278"/>
      <c r="O110" s="228"/>
      <c r="P110" s="36"/>
      <c r="Q110" s="36"/>
      <c r="R110" s="36"/>
      <c r="S110" s="36"/>
      <c r="T110" s="36"/>
    </row>
    <row r="111" spans="1:20" s="42" customFormat="1" ht="13.5">
      <c r="A111" s="37" t="s">
        <v>226</v>
      </c>
      <c r="B111" s="37"/>
      <c r="C111" s="211" t="s">
        <v>597</v>
      </c>
      <c r="D111" s="177" t="s">
        <v>391</v>
      </c>
      <c r="E111" s="41">
        <v>1</v>
      </c>
      <c r="F111" s="41"/>
      <c r="G111" s="41"/>
      <c r="H111" s="41"/>
      <c r="I111" s="41"/>
      <c r="J111" s="41"/>
      <c r="K111" s="83"/>
      <c r="L111" s="36"/>
      <c r="M111" s="36"/>
      <c r="N111" s="269"/>
      <c r="O111" s="228"/>
      <c r="P111" s="36"/>
      <c r="Q111" s="36"/>
      <c r="R111" s="36"/>
      <c r="S111" s="36"/>
      <c r="T111" s="36"/>
    </row>
    <row r="112" spans="1:20" s="42" customFormat="1" ht="13.5">
      <c r="A112" s="37" t="s">
        <v>236</v>
      </c>
      <c r="B112" s="37"/>
      <c r="C112" s="211" t="s">
        <v>605</v>
      </c>
      <c r="D112" s="177" t="s">
        <v>391</v>
      </c>
      <c r="E112" s="41">
        <v>1</v>
      </c>
      <c r="F112" s="41"/>
      <c r="G112" s="41"/>
      <c r="H112" s="41"/>
      <c r="I112" s="41"/>
      <c r="J112" s="41"/>
      <c r="K112" s="83"/>
      <c r="L112" s="36"/>
      <c r="M112" s="36"/>
      <c r="N112" s="269"/>
      <c r="O112" s="228"/>
      <c r="P112" s="36"/>
      <c r="Q112" s="36"/>
      <c r="R112" s="36"/>
      <c r="S112" s="36"/>
      <c r="T112" s="36"/>
    </row>
    <row r="113" spans="1:20" s="42" customFormat="1" ht="13.5">
      <c r="A113" s="37" t="s">
        <v>586</v>
      </c>
      <c r="B113" s="37"/>
      <c r="C113" s="230" t="s">
        <v>772</v>
      </c>
      <c r="D113" s="177" t="s">
        <v>391</v>
      </c>
      <c r="E113" s="41">
        <v>1</v>
      </c>
      <c r="F113" s="41"/>
      <c r="G113" s="41"/>
      <c r="H113" s="41"/>
      <c r="I113" s="41"/>
      <c r="J113" s="41"/>
      <c r="K113" s="83"/>
      <c r="L113" s="36"/>
      <c r="M113" s="36"/>
      <c r="N113" s="269"/>
      <c r="O113" s="228"/>
      <c r="P113" s="36"/>
      <c r="Q113" s="36"/>
      <c r="R113" s="36"/>
      <c r="S113" s="36"/>
      <c r="T113" s="36"/>
    </row>
    <row r="114" spans="1:20" s="42" customFormat="1" ht="13.5">
      <c r="A114" s="37" t="s">
        <v>588</v>
      </c>
      <c r="B114" s="37"/>
      <c r="C114" s="230" t="s">
        <v>609</v>
      </c>
      <c r="D114" s="177" t="s">
        <v>391</v>
      </c>
      <c r="E114" s="41">
        <v>1</v>
      </c>
      <c r="F114" s="41"/>
      <c r="G114" s="41"/>
      <c r="H114" s="41"/>
      <c r="I114" s="41"/>
      <c r="J114" s="41"/>
      <c r="K114" s="83"/>
      <c r="L114" s="36"/>
      <c r="M114" s="36"/>
      <c r="N114" s="269"/>
      <c r="O114" s="228"/>
      <c r="P114" s="36"/>
      <c r="Q114" s="36"/>
      <c r="R114" s="36"/>
      <c r="S114" s="36"/>
      <c r="T114" s="36"/>
    </row>
    <row r="115" spans="1:20" s="42" customFormat="1" ht="13.5">
      <c r="A115" s="37" t="s">
        <v>590</v>
      </c>
      <c r="B115" s="37"/>
      <c r="C115" s="211" t="s">
        <v>614</v>
      </c>
      <c r="D115" s="177" t="s">
        <v>391</v>
      </c>
      <c r="E115" s="41">
        <v>1</v>
      </c>
      <c r="F115" s="41"/>
      <c r="G115" s="41"/>
      <c r="H115" s="41"/>
      <c r="I115" s="41"/>
      <c r="J115" s="41"/>
      <c r="K115" s="83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s="42" customFormat="1" ht="13.5">
      <c r="A116" s="37" t="s">
        <v>592</v>
      </c>
      <c r="B116" s="37"/>
      <c r="C116" s="211" t="s">
        <v>620</v>
      </c>
      <c r="D116" s="177" t="s">
        <v>391</v>
      </c>
      <c r="E116" s="41">
        <v>1</v>
      </c>
      <c r="F116" s="41"/>
      <c r="G116" s="41"/>
      <c r="H116" s="41"/>
      <c r="I116" s="41"/>
      <c r="J116" s="41"/>
      <c r="K116" s="83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s="42" customFormat="1" ht="13.5">
      <c r="A117" s="37" t="s">
        <v>594</v>
      </c>
      <c r="B117" s="37"/>
      <c r="C117" s="211" t="s">
        <v>624</v>
      </c>
      <c r="D117" s="177" t="s">
        <v>391</v>
      </c>
      <c r="E117" s="41">
        <v>1</v>
      </c>
      <c r="F117" s="41"/>
      <c r="G117" s="41"/>
      <c r="H117" s="41"/>
      <c r="I117" s="41"/>
      <c r="J117" s="41"/>
      <c r="K117" s="83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s="42" customFormat="1" ht="13.5">
      <c r="A118" s="37" t="s">
        <v>596</v>
      </c>
      <c r="B118" s="37"/>
      <c r="C118" s="211" t="s">
        <v>628</v>
      </c>
      <c r="D118" s="177" t="s">
        <v>391</v>
      </c>
      <c r="E118" s="41">
        <v>5</v>
      </c>
      <c r="F118" s="41"/>
      <c r="G118" s="41"/>
      <c r="H118" s="41"/>
      <c r="I118" s="41"/>
      <c r="J118" s="41"/>
      <c r="K118" s="83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s="42" customFormat="1" ht="13.5">
      <c r="A119" s="37" t="s">
        <v>598</v>
      </c>
      <c r="B119" s="37"/>
      <c r="C119" s="211" t="s">
        <v>632</v>
      </c>
      <c r="D119" s="177" t="s">
        <v>391</v>
      </c>
      <c r="E119" s="41">
        <v>1</v>
      </c>
      <c r="F119" s="41"/>
      <c r="G119" s="41"/>
      <c r="H119" s="41"/>
      <c r="I119" s="41"/>
      <c r="J119" s="41"/>
      <c r="K119" s="83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s="42" customFormat="1" ht="13.5">
      <c r="A120" s="37" t="s">
        <v>600</v>
      </c>
      <c r="B120" s="37"/>
      <c r="C120" s="211" t="s">
        <v>637</v>
      </c>
      <c r="D120" s="177" t="s">
        <v>391</v>
      </c>
      <c r="E120" s="41">
        <v>1</v>
      </c>
      <c r="F120" s="41"/>
      <c r="G120" s="41"/>
      <c r="H120" s="41"/>
      <c r="I120" s="41"/>
      <c r="J120" s="41"/>
      <c r="K120" s="83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s="42" customFormat="1" ht="13.5">
      <c r="A121" s="37" t="s">
        <v>602</v>
      </c>
      <c r="B121" s="37"/>
      <c r="C121" s="211" t="s">
        <v>639</v>
      </c>
      <c r="D121" s="177" t="s">
        <v>391</v>
      </c>
      <c r="E121" s="41">
        <v>1</v>
      </c>
      <c r="F121" s="41"/>
      <c r="G121" s="41"/>
      <c r="H121" s="41"/>
      <c r="I121" s="41"/>
      <c r="J121" s="41"/>
      <c r="K121" s="83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s="42" customFormat="1" ht="13.5">
      <c r="A122" s="37" t="s">
        <v>604</v>
      </c>
      <c r="B122" s="37"/>
      <c r="C122" s="211" t="s">
        <v>641</v>
      </c>
      <c r="D122" s="177" t="s">
        <v>391</v>
      </c>
      <c r="E122" s="41">
        <v>1</v>
      </c>
      <c r="F122" s="41"/>
      <c r="G122" s="41"/>
      <c r="H122" s="41"/>
      <c r="I122" s="41"/>
      <c r="J122" s="41"/>
      <c r="K122" s="83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s="42" customFormat="1" ht="13.5">
      <c r="A123" s="37" t="s">
        <v>606</v>
      </c>
      <c r="B123" s="37"/>
      <c r="C123" s="211" t="s">
        <v>643</v>
      </c>
      <c r="D123" s="177" t="s">
        <v>391</v>
      </c>
      <c r="E123" s="41">
        <v>1</v>
      </c>
      <c r="F123" s="41"/>
      <c r="G123" s="41"/>
      <c r="H123" s="41"/>
      <c r="I123" s="41"/>
      <c r="J123" s="41"/>
      <c r="K123" s="83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ht="14.25">
      <c r="A124" s="67" t="s">
        <v>272</v>
      </c>
      <c r="B124" s="67"/>
      <c r="C124" s="67"/>
      <c r="D124" s="67"/>
      <c r="E124" s="67"/>
      <c r="F124" s="67"/>
      <c r="G124" s="67"/>
      <c r="H124" s="67"/>
      <c r="I124" s="67"/>
      <c r="J124" s="267"/>
      <c r="K124" s="260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2" s="73" customFormat="1" ht="13.5">
      <c r="A125" s="69" t="s">
        <v>273</v>
      </c>
      <c r="B125" s="70" t="s">
        <v>274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1"/>
      <c r="M125" s="72"/>
      <c r="N125" s="72"/>
      <c r="O125" s="72"/>
      <c r="P125" s="72"/>
      <c r="Q125" s="72"/>
      <c r="R125" s="72"/>
      <c r="S125" s="72"/>
      <c r="T125" s="72"/>
      <c r="U125" s="72"/>
      <c r="V125" s="72"/>
    </row>
    <row r="126" spans="1:22" s="194" customFormat="1" ht="14.25">
      <c r="A126" s="74" t="s">
        <v>275</v>
      </c>
      <c r="B126" s="120">
        <v>72075</v>
      </c>
      <c r="C126" s="76" t="s">
        <v>647</v>
      </c>
      <c r="D126" s="75" t="s">
        <v>23</v>
      </c>
      <c r="E126" s="41">
        <f>E140+E143</f>
        <v>292.71000000000004</v>
      </c>
      <c r="F126" s="76"/>
      <c r="G126" s="41"/>
      <c r="H126" s="76"/>
      <c r="I126" s="41"/>
      <c r="J126" s="41"/>
      <c r="K126" s="41"/>
      <c r="L126" s="71"/>
      <c r="M126" s="72"/>
      <c r="N126" s="72"/>
      <c r="O126" s="72"/>
      <c r="P126" s="72"/>
      <c r="Q126" s="72"/>
      <c r="R126" s="72"/>
      <c r="S126" s="72"/>
      <c r="T126" s="72"/>
      <c r="U126" s="72"/>
      <c r="V126" s="72"/>
    </row>
    <row r="127" spans="1:22" s="73" customFormat="1" ht="14.25">
      <c r="A127" s="79" t="s">
        <v>285</v>
      </c>
      <c r="B127" s="79"/>
      <c r="C127" s="79"/>
      <c r="D127" s="79"/>
      <c r="E127" s="79"/>
      <c r="F127" s="79"/>
      <c r="G127" s="79"/>
      <c r="H127" s="79"/>
      <c r="I127" s="79"/>
      <c r="J127" s="267"/>
      <c r="K127" s="267"/>
      <c r="L127" s="80"/>
      <c r="M127" s="72"/>
      <c r="N127" s="72"/>
      <c r="O127" s="72"/>
      <c r="P127" s="72"/>
      <c r="Q127" s="72"/>
      <c r="R127" s="72"/>
      <c r="S127" s="72"/>
      <c r="T127" s="72"/>
      <c r="U127" s="72"/>
      <c r="V127" s="72"/>
    </row>
    <row r="128" spans="1:20" ht="13.5">
      <c r="A128" s="34" t="s">
        <v>286</v>
      </c>
      <c r="B128" s="35" t="s">
        <v>287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s="42" customFormat="1" ht="13.5">
      <c r="A129" s="118" t="s">
        <v>288</v>
      </c>
      <c r="B129" s="118"/>
      <c r="C129" s="322" t="s">
        <v>648</v>
      </c>
      <c r="D129" s="323" t="s">
        <v>391</v>
      </c>
      <c r="E129" s="41">
        <v>1</v>
      </c>
      <c r="F129" s="322"/>
      <c r="G129" s="322"/>
      <c r="H129" s="322"/>
      <c r="I129" s="322"/>
      <c r="J129" s="322"/>
      <c r="K129" s="141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s="42" customFormat="1" ht="13.5">
      <c r="A130" s="118" t="s">
        <v>289</v>
      </c>
      <c r="B130" s="118"/>
      <c r="C130" s="333" t="s">
        <v>649</v>
      </c>
      <c r="D130" s="323" t="s">
        <v>391</v>
      </c>
      <c r="E130" s="41">
        <v>1</v>
      </c>
      <c r="F130" s="322"/>
      <c r="G130" s="322"/>
      <c r="H130" s="322"/>
      <c r="I130" s="322"/>
      <c r="J130" s="322"/>
      <c r="K130" s="141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s="42" customFormat="1" ht="13.5">
      <c r="A131" s="118" t="s">
        <v>290</v>
      </c>
      <c r="B131" s="118"/>
      <c r="C131" s="322" t="s">
        <v>655</v>
      </c>
      <c r="D131" s="323" t="s">
        <v>391</v>
      </c>
      <c r="E131" s="41">
        <v>1</v>
      </c>
      <c r="F131" s="142"/>
      <c r="G131" s="322"/>
      <c r="H131" s="142"/>
      <c r="I131" s="322"/>
      <c r="J131" s="322"/>
      <c r="K131" s="141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11" ht="14.25">
      <c r="A132" s="67" t="s">
        <v>298</v>
      </c>
      <c r="B132" s="67"/>
      <c r="C132" s="67"/>
      <c r="D132" s="67"/>
      <c r="E132" s="67"/>
      <c r="F132" s="67"/>
      <c r="G132" s="67"/>
      <c r="H132" s="67"/>
      <c r="I132" s="67"/>
      <c r="J132" s="267"/>
      <c r="K132" s="260"/>
    </row>
    <row r="133" spans="1:20" ht="13.5">
      <c r="A133" s="34" t="s">
        <v>299</v>
      </c>
      <c r="B133" s="35" t="s">
        <v>300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s="42" customFormat="1" ht="13.5">
      <c r="A134" s="37" t="s">
        <v>301</v>
      </c>
      <c r="B134" s="120">
        <v>5974</v>
      </c>
      <c r="C134" s="44" t="s">
        <v>656</v>
      </c>
      <c r="D134" s="40" t="s">
        <v>23</v>
      </c>
      <c r="E134" s="41">
        <f>(E57+E58)*2</f>
        <v>383.53599999999994</v>
      </c>
      <c r="F134" s="41"/>
      <c r="G134" s="41"/>
      <c r="H134" s="41"/>
      <c r="I134" s="41"/>
      <c r="J134" s="41"/>
      <c r="K134" s="41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s="42" customFormat="1" ht="13.5">
      <c r="A135" s="37" t="s">
        <v>303</v>
      </c>
      <c r="B135" s="120">
        <v>5975</v>
      </c>
      <c r="C135" s="44" t="s">
        <v>657</v>
      </c>
      <c r="D135" s="40" t="s">
        <v>23</v>
      </c>
      <c r="E135" s="41">
        <f>E13-(6*6)</f>
        <v>144.67</v>
      </c>
      <c r="F135" s="41"/>
      <c r="G135" s="41"/>
      <c r="H135" s="41"/>
      <c r="I135" s="41"/>
      <c r="J135" s="41"/>
      <c r="K135" s="41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s="42" customFormat="1" ht="23.25">
      <c r="A136" s="37" t="s">
        <v>304</v>
      </c>
      <c r="B136" s="120">
        <v>5982</v>
      </c>
      <c r="C136" s="44" t="s">
        <v>658</v>
      </c>
      <c r="D136" s="40" t="s">
        <v>23</v>
      </c>
      <c r="E136" s="41">
        <f>E135</f>
        <v>144.67</v>
      </c>
      <c r="F136" s="41"/>
      <c r="G136" s="41"/>
      <c r="H136" s="41"/>
      <c r="I136" s="41"/>
      <c r="J136" s="41"/>
      <c r="K136" s="41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s="42" customFormat="1" ht="23.25">
      <c r="A137" s="37" t="s">
        <v>305</v>
      </c>
      <c r="B137" s="120">
        <v>5992</v>
      </c>
      <c r="C137" s="44" t="s">
        <v>659</v>
      </c>
      <c r="D137" s="40" t="s">
        <v>23</v>
      </c>
      <c r="E137" s="41">
        <f>E134</f>
        <v>383.53599999999994</v>
      </c>
      <c r="F137" s="41"/>
      <c r="G137" s="41"/>
      <c r="H137" s="41"/>
      <c r="I137" s="41"/>
      <c r="J137" s="41"/>
      <c r="K137" s="41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s="42" customFormat="1" ht="15" customHeight="1">
      <c r="A138" s="37" t="s">
        <v>306</v>
      </c>
      <c r="B138" s="334">
        <v>9536</v>
      </c>
      <c r="C138" s="335" t="s">
        <v>663</v>
      </c>
      <c r="D138" s="61" t="s">
        <v>23</v>
      </c>
      <c r="E138" s="295">
        <f>2*5.12</f>
        <v>10.24</v>
      </c>
      <c r="F138" s="41"/>
      <c r="G138" s="41"/>
      <c r="H138" s="41"/>
      <c r="I138" s="41"/>
      <c r="J138" s="41"/>
      <c r="K138" s="41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s="42" customFormat="1" ht="15" customHeight="1">
      <c r="A139" s="37" t="s">
        <v>307</v>
      </c>
      <c r="B139" s="120" t="s">
        <v>664</v>
      </c>
      <c r="C139" s="44" t="s">
        <v>665</v>
      </c>
      <c r="D139" s="40" t="s">
        <v>23</v>
      </c>
      <c r="E139" s="41">
        <v>92.47</v>
      </c>
      <c r="F139" s="41"/>
      <c r="G139" s="41"/>
      <c r="H139" s="41"/>
      <c r="I139" s="41"/>
      <c r="J139" s="41"/>
      <c r="K139" s="41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s="42" customFormat="1" ht="23.25">
      <c r="A140" s="37" t="s">
        <v>308</v>
      </c>
      <c r="B140" s="336" t="s">
        <v>838</v>
      </c>
      <c r="C140" s="312" t="s">
        <v>839</v>
      </c>
      <c r="D140" s="337" t="s">
        <v>23</v>
      </c>
      <c r="E140" s="98">
        <f>(17.14+(6*6)+(6*6))*1.1</f>
        <v>98.054</v>
      </c>
      <c r="F140" s="41"/>
      <c r="G140" s="41"/>
      <c r="H140" s="41"/>
      <c r="I140" s="41"/>
      <c r="J140" s="41"/>
      <c r="K140" s="41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s="42" customFormat="1" ht="13.5">
      <c r="A141" s="37" t="s">
        <v>309</v>
      </c>
      <c r="B141" s="120" t="s">
        <v>674</v>
      </c>
      <c r="C141" s="249" t="s">
        <v>675</v>
      </c>
      <c r="D141" s="40" t="s">
        <v>189</v>
      </c>
      <c r="E141" s="41">
        <f>1.5*1.1</f>
        <v>1.6500000000000001</v>
      </c>
      <c r="F141" s="41"/>
      <c r="G141" s="41"/>
      <c r="H141" s="41"/>
      <c r="I141" s="41"/>
      <c r="J141" s="41"/>
      <c r="K141" s="41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s="42" customFormat="1" ht="13.5">
      <c r="A142" s="37" t="s">
        <v>310</v>
      </c>
      <c r="B142" s="120" t="s">
        <v>677</v>
      </c>
      <c r="C142" s="46" t="s">
        <v>678</v>
      </c>
      <c r="D142" s="40" t="s">
        <v>189</v>
      </c>
      <c r="E142" s="41">
        <f>((1.8*1)+(0.8*6))*1.1</f>
        <v>7.260000000000002</v>
      </c>
      <c r="F142" s="41"/>
      <c r="G142" s="41"/>
      <c r="H142" s="41"/>
      <c r="I142" s="41"/>
      <c r="J142" s="41"/>
      <c r="K142" s="41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s="42" customFormat="1" ht="23.25">
      <c r="A143" s="37" t="s">
        <v>311</v>
      </c>
      <c r="B143" s="120" t="s">
        <v>838</v>
      </c>
      <c r="C143" s="47" t="s">
        <v>840</v>
      </c>
      <c r="D143" s="40" t="s">
        <v>23</v>
      </c>
      <c r="E143" s="41">
        <f>(1.4*((10*6)+(8.3*6)+16.6))*1.1</f>
        <v>194.65600000000003</v>
      </c>
      <c r="F143" s="41"/>
      <c r="G143" s="41"/>
      <c r="H143" s="41"/>
      <c r="I143" s="41"/>
      <c r="J143" s="41"/>
      <c r="K143" s="41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3.5">
      <c r="A144" s="67" t="s">
        <v>313</v>
      </c>
      <c r="B144" s="67"/>
      <c r="C144" s="67"/>
      <c r="D144" s="67"/>
      <c r="E144" s="67"/>
      <c r="F144" s="67"/>
      <c r="G144" s="67"/>
      <c r="H144" s="67"/>
      <c r="I144" s="67"/>
      <c r="J144" s="53"/>
      <c r="K144" s="53"/>
      <c r="L144" s="68"/>
      <c r="M144" s="36"/>
      <c r="N144" s="36"/>
      <c r="O144" s="36"/>
      <c r="P144" s="36"/>
      <c r="Q144" s="36"/>
      <c r="R144" s="36"/>
      <c r="S144" s="36"/>
      <c r="T144" s="36"/>
    </row>
    <row r="145" spans="1:21" s="73" customFormat="1" ht="13.5">
      <c r="A145" s="338" t="s">
        <v>314</v>
      </c>
      <c r="B145" s="85" t="s">
        <v>315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71"/>
      <c r="M145" s="72"/>
      <c r="N145" s="72"/>
      <c r="O145" s="72"/>
      <c r="P145" s="72"/>
      <c r="Q145" s="72"/>
      <c r="R145" s="72"/>
      <c r="S145" s="72"/>
      <c r="T145" s="72"/>
      <c r="U145" s="72"/>
    </row>
    <row r="146" spans="1:21" s="78" customFormat="1" ht="13.5">
      <c r="A146" s="74" t="s">
        <v>316</v>
      </c>
      <c r="B146" s="253">
        <v>72116</v>
      </c>
      <c r="C146" s="76" t="s">
        <v>858</v>
      </c>
      <c r="D146" s="75" t="s">
        <v>23</v>
      </c>
      <c r="E146" s="41">
        <f>0.6*0.6*6</f>
        <v>2.1600000000000006</v>
      </c>
      <c r="F146" s="41"/>
      <c r="G146" s="41"/>
      <c r="H146" s="41"/>
      <c r="I146" s="41"/>
      <c r="J146" s="41"/>
      <c r="K146" s="41"/>
      <c r="L146" s="71"/>
      <c r="M146" s="72"/>
      <c r="N146" s="72"/>
      <c r="O146" s="72"/>
      <c r="P146" s="72"/>
      <c r="Q146" s="72"/>
      <c r="R146" s="72"/>
      <c r="S146" s="72"/>
      <c r="T146" s="72"/>
      <c r="U146" s="72"/>
    </row>
    <row r="147" spans="1:21" s="78" customFormat="1" ht="13.5">
      <c r="A147" s="74" t="s">
        <v>317</v>
      </c>
      <c r="B147" s="253">
        <v>72116</v>
      </c>
      <c r="C147" s="76" t="s">
        <v>842</v>
      </c>
      <c r="D147" s="75" t="s">
        <v>23</v>
      </c>
      <c r="E147" s="41">
        <f>1.5*1.2</f>
        <v>1.7999999999999998</v>
      </c>
      <c r="F147" s="41"/>
      <c r="G147" s="41"/>
      <c r="H147" s="41"/>
      <c r="I147" s="41"/>
      <c r="J147" s="41"/>
      <c r="K147" s="41"/>
      <c r="L147" s="71"/>
      <c r="M147" s="72"/>
      <c r="N147" s="72"/>
      <c r="O147" s="72"/>
      <c r="P147" s="72"/>
      <c r="Q147" s="72"/>
      <c r="R147" s="72"/>
      <c r="S147" s="72"/>
      <c r="T147" s="72"/>
      <c r="U147" s="72"/>
    </row>
    <row r="148" spans="1:21" s="73" customFormat="1" ht="13.5">
      <c r="A148" s="122" t="s">
        <v>326</v>
      </c>
      <c r="B148" s="122"/>
      <c r="C148" s="122"/>
      <c r="D148" s="122"/>
      <c r="E148" s="122"/>
      <c r="F148" s="122"/>
      <c r="G148" s="122"/>
      <c r="H148" s="122"/>
      <c r="I148" s="122"/>
      <c r="J148" s="53"/>
      <c r="K148" s="53"/>
      <c r="L148" s="80"/>
      <c r="M148" s="72"/>
      <c r="N148" s="72"/>
      <c r="O148" s="72"/>
      <c r="P148" s="72"/>
      <c r="Q148" s="72"/>
      <c r="R148" s="72"/>
      <c r="S148" s="72"/>
      <c r="T148" s="72"/>
      <c r="U148" s="72"/>
    </row>
    <row r="149" spans="1:20" s="42" customFormat="1" ht="13.5">
      <c r="A149" s="34" t="s">
        <v>327</v>
      </c>
      <c r="B149" s="123" t="s">
        <v>328</v>
      </c>
      <c r="C149" s="123"/>
      <c r="D149" s="123"/>
      <c r="E149" s="123"/>
      <c r="F149" s="123"/>
      <c r="G149" s="123"/>
      <c r="H149" s="123"/>
      <c r="I149" s="123"/>
      <c r="J149" s="123"/>
      <c r="K149" s="123"/>
      <c r="L149" s="68"/>
      <c r="M149" s="36"/>
      <c r="N149" s="36"/>
      <c r="O149" s="36"/>
      <c r="P149" s="36"/>
      <c r="Q149" s="36"/>
      <c r="R149" s="36"/>
      <c r="S149" s="36"/>
      <c r="T149" s="36"/>
    </row>
    <row r="150" spans="1:20" s="42" customFormat="1" ht="13.5">
      <c r="A150" s="37" t="s">
        <v>329</v>
      </c>
      <c r="B150" s="38" t="s">
        <v>692</v>
      </c>
      <c r="C150" s="46" t="s">
        <v>693</v>
      </c>
      <c r="D150" s="40" t="s">
        <v>23</v>
      </c>
      <c r="E150" s="41">
        <f>E134+E135-(E143/1.1)</f>
        <v>351.24599999999987</v>
      </c>
      <c r="F150" s="41"/>
      <c r="G150" s="41"/>
      <c r="H150" s="41"/>
      <c r="I150" s="41"/>
      <c r="J150" s="41"/>
      <c r="K150" s="41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s="42" customFormat="1" ht="13.5">
      <c r="A151" s="37" t="s">
        <v>330</v>
      </c>
      <c r="B151" s="38" t="s">
        <v>694</v>
      </c>
      <c r="C151" s="46" t="s">
        <v>695</v>
      </c>
      <c r="D151" s="40" t="s">
        <v>23</v>
      </c>
      <c r="E151" s="41">
        <f>E150</f>
        <v>351.24599999999987</v>
      </c>
      <c r="F151" s="41"/>
      <c r="G151" s="41"/>
      <c r="H151" s="41"/>
      <c r="I151" s="41"/>
      <c r="J151" s="41"/>
      <c r="K151" s="41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s="42" customFormat="1" ht="13.5">
      <c r="A152" s="37" t="s">
        <v>331</v>
      </c>
      <c r="B152" s="38" t="s">
        <v>696</v>
      </c>
      <c r="C152" s="46" t="s">
        <v>697</v>
      </c>
      <c r="D152" s="40" t="s">
        <v>23</v>
      </c>
      <c r="E152" s="41">
        <f>E138*1.15</f>
        <v>11.776</v>
      </c>
      <c r="F152" s="41"/>
      <c r="G152" s="41"/>
      <c r="H152" s="41"/>
      <c r="I152" s="41"/>
      <c r="J152" s="41"/>
      <c r="K152" s="41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s="42" customFormat="1" ht="14.25">
      <c r="A153" s="67" t="s">
        <v>339</v>
      </c>
      <c r="B153" s="67"/>
      <c r="C153" s="67"/>
      <c r="D153" s="67"/>
      <c r="E153" s="67"/>
      <c r="F153" s="67"/>
      <c r="G153" s="67"/>
      <c r="H153" s="67"/>
      <c r="I153" s="67"/>
      <c r="J153" s="267"/>
      <c r="K153" s="267"/>
      <c r="L153" s="68"/>
      <c r="M153" s="36"/>
      <c r="N153" s="36"/>
      <c r="O153" s="36"/>
      <c r="P153" s="36"/>
      <c r="Q153" s="36"/>
      <c r="R153" s="36"/>
      <c r="S153" s="36"/>
      <c r="T153" s="36"/>
    </row>
    <row r="154" spans="1:22" s="73" customFormat="1" ht="13.5">
      <c r="A154" s="69" t="s">
        <v>340</v>
      </c>
      <c r="B154" s="70" t="s">
        <v>341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1"/>
      <c r="M154" s="72"/>
      <c r="N154" s="72"/>
      <c r="O154" s="72"/>
      <c r="P154" s="72"/>
      <c r="Q154" s="72"/>
      <c r="R154" s="72"/>
      <c r="S154" s="72"/>
      <c r="T154" s="72"/>
      <c r="U154" s="72"/>
      <c r="V154" s="72"/>
    </row>
    <row r="155" spans="1:22" s="73" customFormat="1" ht="13.5">
      <c r="A155" s="69" t="s">
        <v>342</v>
      </c>
      <c r="B155" s="139" t="s">
        <v>354</v>
      </c>
      <c r="C155" s="131" t="s">
        <v>699</v>
      </c>
      <c r="D155" s="140" t="s">
        <v>23</v>
      </c>
      <c r="E155" s="76">
        <f>150.08-101.84</f>
        <v>48.24000000000001</v>
      </c>
      <c r="F155" s="141"/>
      <c r="G155" s="41"/>
      <c r="H155" s="41"/>
      <c r="I155" s="41"/>
      <c r="J155" s="41"/>
      <c r="K155" s="41"/>
      <c r="L155" s="71"/>
      <c r="M155" s="72"/>
      <c r="N155" s="72"/>
      <c r="O155" s="72"/>
      <c r="P155" s="72"/>
      <c r="Q155" s="72"/>
      <c r="R155" s="72"/>
      <c r="S155" s="72"/>
      <c r="T155" s="72"/>
      <c r="U155" s="72"/>
      <c r="V155" s="72"/>
    </row>
    <row r="156" spans="1:22" s="73" customFormat="1" ht="14.25">
      <c r="A156" s="79" t="s">
        <v>405</v>
      </c>
      <c r="B156" s="79"/>
      <c r="C156" s="79"/>
      <c r="D156" s="79"/>
      <c r="E156" s="79"/>
      <c r="F156" s="79"/>
      <c r="G156" s="79"/>
      <c r="H156" s="79"/>
      <c r="I156" s="79"/>
      <c r="J156" s="267"/>
      <c r="K156" s="267"/>
      <c r="L156" s="80"/>
      <c r="M156" s="72"/>
      <c r="N156" s="72"/>
      <c r="O156" s="72"/>
      <c r="P156" s="72"/>
      <c r="Q156" s="72"/>
      <c r="R156" s="72"/>
      <c r="S156" s="72"/>
      <c r="T156" s="72"/>
      <c r="U156" s="72"/>
      <c r="V156" s="72"/>
    </row>
    <row r="157" spans="1:12" ht="13.5">
      <c r="A157" s="34" t="s">
        <v>406</v>
      </c>
      <c r="B157" s="143" t="s">
        <v>407</v>
      </c>
      <c r="C157" s="143"/>
      <c r="D157" s="143"/>
      <c r="E157" s="143"/>
      <c r="F157" s="143"/>
      <c r="G157" s="143"/>
      <c r="H157" s="143"/>
      <c r="I157" s="143"/>
      <c r="J157" s="143"/>
      <c r="K157" s="143"/>
      <c r="L157" s="144"/>
    </row>
    <row r="158" spans="1:11" s="42" customFormat="1" ht="13.5">
      <c r="A158" s="37" t="s">
        <v>408</v>
      </c>
      <c r="B158" s="120">
        <v>9537</v>
      </c>
      <c r="C158" s="36" t="s">
        <v>700</v>
      </c>
      <c r="D158" s="40" t="s">
        <v>23</v>
      </c>
      <c r="E158" s="41">
        <f>E13</f>
        <v>180.67</v>
      </c>
      <c r="F158" s="41"/>
      <c r="G158" s="41"/>
      <c r="H158" s="41"/>
      <c r="I158" s="41"/>
      <c r="J158" s="41"/>
      <c r="K158" s="41"/>
    </row>
    <row r="159" spans="1:11" ht="14.25">
      <c r="A159" s="67" t="s">
        <v>424</v>
      </c>
      <c r="B159" s="67"/>
      <c r="C159" s="67"/>
      <c r="D159" s="67"/>
      <c r="E159" s="67"/>
      <c r="F159" s="67"/>
      <c r="G159" s="67"/>
      <c r="H159" s="67"/>
      <c r="I159" s="67"/>
      <c r="J159" s="267"/>
      <c r="K159" s="260"/>
    </row>
    <row r="160" spans="1:11" s="151" customFormat="1" ht="13.5">
      <c r="A160" s="148"/>
      <c r="B160" s="149"/>
      <c r="C160" s="150"/>
      <c r="D160" s="150"/>
      <c r="E160" s="150"/>
      <c r="F160" s="150"/>
      <c r="G160" s="150"/>
      <c r="H160" s="150"/>
      <c r="I160" s="150"/>
      <c r="J160" s="150"/>
      <c r="K160" s="150"/>
    </row>
    <row r="161" spans="1:11" s="154" customFormat="1" ht="15.75">
      <c r="A161" s="152" t="s">
        <v>425</v>
      </c>
      <c r="B161" s="152"/>
      <c r="C161" s="152"/>
      <c r="D161" s="152"/>
      <c r="E161" s="152"/>
      <c r="F161" s="152"/>
      <c r="G161" s="152"/>
      <c r="H161" s="152"/>
      <c r="I161" s="152"/>
      <c r="J161" s="153"/>
      <c r="K161" s="153"/>
    </row>
  </sheetData>
  <sheetProtection selectLockedCells="1" selectUnlockedCells="1"/>
  <mergeCells count="48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O9"/>
    <mergeCell ref="P9:T9"/>
    <mergeCell ref="B11:K11"/>
    <mergeCell ref="A14:I14"/>
    <mergeCell ref="B15:K15"/>
    <mergeCell ref="A22:I22"/>
    <mergeCell ref="B23:K23"/>
    <mergeCell ref="A32:I32"/>
    <mergeCell ref="B33:K33"/>
    <mergeCell ref="A55:I55"/>
    <mergeCell ref="B56:K56"/>
    <mergeCell ref="A61:I61"/>
    <mergeCell ref="B62:K62"/>
    <mergeCell ref="A69:I69"/>
    <mergeCell ref="B70:K70"/>
    <mergeCell ref="A76:I76"/>
    <mergeCell ref="B77:K77"/>
    <mergeCell ref="A89:I89"/>
    <mergeCell ref="B90:K90"/>
    <mergeCell ref="A98:I98"/>
    <mergeCell ref="B99:K99"/>
    <mergeCell ref="A124:I124"/>
    <mergeCell ref="B125:K125"/>
    <mergeCell ref="A127:I127"/>
    <mergeCell ref="B128:K128"/>
    <mergeCell ref="A132:I132"/>
    <mergeCell ref="B133:K133"/>
    <mergeCell ref="A144:I144"/>
    <mergeCell ref="B145:K145"/>
    <mergeCell ref="A148:I148"/>
    <mergeCell ref="B149:K149"/>
    <mergeCell ref="A153:I153"/>
    <mergeCell ref="B154:K154"/>
    <mergeCell ref="A156:I156"/>
    <mergeCell ref="B157:K157"/>
    <mergeCell ref="A159:I159"/>
    <mergeCell ref="C160:K160"/>
    <mergeCell ref="A161:I161"/>
  </mergeCells>
  <printOptions/>
  <pageMargins left="0.5118055555555555" right="0.5118055555555555" top="0.7875" bottom="0.7875" header="0.5118055555555555" footer="0.31527777777777777"/>
  <pageSetup fitToHeight="10" fitToWidth="1" horizontalDpi="300" verticalDpi="300" orientation="landscape" paperSize="77"/>
  <headerFooter alignWithMargins="0">
    <oddFooter>&amp;L&amp;"Calibri,Regular"&amp;11MATERNIDADE&amp;C&amp;"Calibri,Regular"&amp;11Página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9"/>
  <sheetViews>
    <sheetView zoomScale="90" zoomScaleNormal="9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6.28125" style="1" customWidth="1"/>
    <col min="2" max="2" width="12.421875" style="1" customWidth="1"/>
    <col min="3" max="3" width="70.28125" style="2" customWidth="1"/>
    <col min="4" max="4" width="10.140625" style="3" customWidth="1"/>
    <col min="5" max="5" width="11.8515625" style="4" customWidth="1"/>
    <col min="6" max="9" width="17.28125" style="2" customWidth="1"/>
    <col min="10" max="11" width="14.421875" style="2" customWidth="1"/>
    <col min="12" max="12" width="10.421875" style="2" customWidth="1"/>
    <col min="13" max="13" width="9.421875" style="2" customWidth="1"/>
    <col min="14" max="14" width="13.8515625" style="2" customWidth="1"/>
    <col min="15" max="18" width="9.421875" style="2" customWidth="1"/>
    <col min="19" max="19" width="14.140625" style="2" customWidth="1"/>
    <col min="20" max="16384" width="9.421875" style="2" customWidth="1"/>
  </cols>
  <sheetData>
    <row r="1" spans="1:11" s="6" customFormat="1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4:8" ht="14.25">
      <c r="D2" s="7"/>
      <c r="E2" s="8"/>
      <c r="F2" s="3"/>
      <c r="G2" s="3"/>
      <c r="H2" s="3"/>
    </row>
    <row r="3" spans="4:11" ht="18">
      <c r="D3" s="9" t="s">
        <v>890</v>
      </c>
      <c r="E3" s="10"/>
      <c r="F3" s="10"/>
      <c r="G3" s="10"/>
      <c r="H3" s="11"/>
      <c r="J3" s="12"/>
      <c r="K3" s="13"/>
    </row>
    <row r="4" spans="4:11" ht="14.25">
      <c r="D4" s="14" t="s">
        <v>2</v>
      </c>
      <c r="E4" s="15"/>
      <c r="F4" s="16"/>
      <c r="G4" s="16"/>
      <c r="H4" s="17"/>
      <c r="J4" s="18"/>
      <c r="K4" s="13"/>
    </row>
    <row r="5" spans="4:11" ht="14.25">
      <c r="D5" s="19" t="s">
        <v>891</v>
      </c>
      <c r="E5" s="19"/>
      <c r="F5" s="19"/>
      <c r="G5" s="19"/>
      <c r="H5" s="17"/>
      <c r="J5" s="18"/>
      <c r="K5" s="13"/>
    </row>
    <row r="6" spans="4:11" ht="14.25">
      <c r="D6" s="20" t="s">
        <v>811</v>
      </c>
      <c r="E6" s="20"/>
      <c r="F6" s="20"/>
      <c r="G6" s="20"/>
      <c r="H6" s="17"/>
      <c r="J6" s="18"/>
      <c r="K6" s="13"/>
    </row>
    <row r="7" spans="4:11" ht="14.25">
      <c r="D7" s="19" t="s">
        <v>5</v>
      </c>
      <c r="E7" s="19"/>
      <c r="F7" s="19"/>
      <c r="G7" s="19"/>
      <c r="H7" s="17"/>
      <c r="J7" s="18"/>
      <c r="K7" s="13"/>
    </row>
    <row r="8" spans="10:11" ht="14.25">
      <c r="J8" s="13"/>
      <c r="K8" s="13"/>
    </row>
    <row r="9" spans="1:20" s="6" customFormat="1" ht="15" customHeight="1">
      <c r="A9" s="21" t="s">
        <v>6</v>
      </c>
      <c r="B9" s="21" t="s">
        <v>7</v>
      </c>
      <c r="C9" s="21" t="s">
        <v>8</v>
      </c>
      <c r="D9" s="21" t="s">
        <v>9</v>
      </c>
      <c r="E9" s="22" t="s">
        <v>10</v>
      </c>
      <c r="F9" s="21" t="s">
        <v>11</v>
      </c>
      <c r="G9" s="21"/>
      <c r="H9" s="23" t="s">
        <v>12</v>
      </c>
      <c r="I9" s="23"/>
      <c r="J9" s="24" t="s">
        <v>13</v>
      </c>
      <c r="K9" s="25" t="s">
        <v>14</v>
      </c>
      <c r="L9" s="26"/>
      <c r="M9" s="26"/>
      <c r="N9" s="26"/>
      <c r="O9" s="26"/>
      <c r="P9" s="27"/>
      <c r="Q9" s="27"/>
      <c r="R9" s="27"/>
      <c r="S9" s="27"/>
      <c r="T9" s="27"/>
    </row>
    <row r="10" spans="1:20" ht="13.5">
      <c r="A10" s="21"/>
      <c r="B10" s="21"/>
      <c r="C10" s="21"/>
      <c r="D10" s="21"/>
      <c r="E10" s="22"/>
      <c r="F10" s="28" t="s">
        <v>15</v>
      </c>
      <c r="G10" s="29" t="s">
        <v>16</v>
      </c>
      <c r="H10" s="29" t="s">
        <v>15</v>
      </c>
      <c r="I10" s="29" t="s">
        <v>16</v>
      </c>
      <c r="J10" s="29" t="s">
        <v>17</v>
      </c>
      <c r="K10" s="31">
        <f>E4</f>
        <v>0</v>
      </c>
      <c r="L10" s="32"/>
      <c r="M10" s="33"/>
      <c r="N10" s="33"/>
      <c r="O10" s="33"/>
      <c r="P10" s="32"/>
      <c r="Q10" s="32"/>
      <c r="R10" s="33"/>
      <c r="S10" s="33"/>
      <c r="T10" s="32"/>
    </row>
    <row r="11" spans="1:20" ht="13.5">
      <c r="A11" s="34" t="s">
        <v>18</v>
      </c>
      <c r="B11" s="3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42" customFormat="1" ht="13.5">
      <c r="A12" s="37" t="s">
        <v>20</v>
      </c>
      <c r="B12" s="43">
        <v>73672</v>
      </c>
      <c r="C12" s="39" t="s">
        <v>25</v>
      </c>
      <c r="D12" s="40" t="s">
        <v>23</v>
      </c>
      <c r="E12" s="41">
        <v>156.42</v>
      </c>
      <c r="F12" s="41"/>
      <c r="G12" s="41"/>
      <c r="H12" s="41"/>
      <c r="I12" s="41"/>
      <c r="J12" s="41"/>
      <c r="K12" s="41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42" customFormat="1" ht="23.25">
      <c r="A13" s="37" t="s">
        <v>24</v>
      </c>
      <c r="B13" s="38" t="s">
        <v>42</v>
      </c>
      <c r="C13" s="44" t="s">
        <v>43</v>
      </c>
      <c r="D13" s="40" t="s">
        <v>23</v>
      </c>
      <c r="E13" s="41">
        <v>113.29</v>
      </c>
      <c r="F13" s="41"/>
      <c r="G13" s="41"/>
      <c r="H13" s="41"/>
      <c r="I13" s="41"/>
      <c r="J13" s="41"/>
      <c r="K13" s="41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3.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3"/>
      <c r="K14" s="54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3.5">
      <c r="A15" s="34" t="s">
        <v>65</v>
      </c>
      <c r="B15" s="35" t="s">
        <v>66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91" customFormat="1" ht="14.25">
      <c r="A16" s="203" t="s">
        <v>67</v>
      </c>
      <c r="B16" s="329" t="s">
        <v>68</v>
      </c>
      <c r="C16" s="316" t="s">
        <v>69</v>
      </c>
      <c r="D16" s="196" t="s">
        <v>346</v>
      </c>
      <c r="E16" s="83">
        <f>E12*1.5</f>
        <v>234.63</v>
      </c>
      <c r="F16" s="83"/>
      <c r="G16" s="83"/>
      <c r="H16" s="83"/>
      <c r="I16" s="83"/>
      <c r="J16" s="83"/>
      <c r="K16" s="83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91" customFormat="1" ht="14.25">
      <c r="A17" s="203" t="s">
        <v>430</v>
      </c>
      <c r="B17" s="57" t="s">
        <v>428</v>
      </c>
      <c r="C17" s="58" t="s">
        <v>429</v>
      </c>
      <c r="D17" s="40" t="s">
        <v>23</v>
      </c>
      <c r="E17" s="41">
        <f>E12/3</f>
        <v>52.13999999999999</v>
      </c>
      <c r="F17" s="41"/>
      <c r="G17" s="41"/>
      <c r="H17" s="41"/>
      <c r="I17" s="41"/>
      <c r="J17" s="41"/>
      <c r="K17" s="83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91" customFormat="1" ht="14.25">
      <c r="A18" s="203" t="s">
        <v>70</v>
      </c>
      <c r="B18" s="174" t="s">
        <v>432</v>
      </c>
      <c r="C18" s="58" t="s">
        <v>433</v>
      </c>
      <c r="D18" s="40" t="s">
        <v>346</v>
      </c>
      <c r="E18" s="41">
        <v>35.24</v>
      </c>
      <c r="F18" s="41"/>
      <c r="G18" s="41"/>
      <c r="H18" s="41"/>
      <c r="I18" s="41"/>
      <c r="J18" s="41"/>
      <c r="K18" s="83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91" customFormat="1" ht="14.25">
      <c r="A19" s="203" t="s">
        <v>71</v>
      </c>
      <c r="B19" s="174" t="s">
        <v>434</v>
      </c>
      <c r="C19" s="58" t="s">
        <v>435</v>
      </c>
      <c r="D19" s="177" t="s">
        <v>23</v>
      </c>
      <c r="E19" s="41">
        <v>98.24</v>
      </c>
      <c r="F19" s="41"/>
      <c r="G19" s="41"/>
      <c r="H19" s="41"/>
      <c r="I19" s="41"/>
      <c r="J19" s="41"/>
      <c r="K19" s="83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91" customFormat="1" ht="23.25">
      <c r="A20" s="203" t="s">
        <v>72</v>
      </c>
      <c r="B20" s="174">
        <v>72915</v>
      </c>
      <c r="C20" s="58" t="s">
        <v>431</v>
      </c>
      <c r="D20" s="40" t="s">
        <v>346</v>
      </c>
      <c r="E20" s="41">
        <v>25.08</v>
      </c>
      <c r="F20" s="41"/>
      <c r="G20" s="41"/>
      <c r="H20" s="41"/>
      <c r="I20" s="41"/>
      <c r="J20" s="41"/>
      <c r="K20" s="83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173" customFormat="1" ht="14.25">
      <c r="A21" s="203" t="s">
        <v>73</v>
      </c>
      <c r="B21" s="174">
        <v>6430</v>
      </c>
      <c r="C21" s="58" t="s">
        <v>359</v>
      </c>
      <c r="D21" s="40" t="s">
        <v>346</v>
      </c>
      <c r="E21" s="41">
        <v>22.22</v>
      </c>
      <c r="F21" s="41"/>
      <c r="G21" s="41"/>
      <c r="H21" s="41"/>
      <c r="I21" s="41"/>
      <c r="J21" s="41"/>
      <c r="K21" s="83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4.25">
      <c r="A22" s="67" t="s">
        <v>80</v>
      </c>
      <c r="B22" s="67"/>
      <c r="C22" s="67"/>
      <c r="D22" s="67"/>
      <c r="E22" s="67"/>
      <c r="F22" s="67"/>
      <c r="G22" s="67"/>
      <c r="H22" s="67"/>
      <c r="I22" s="67"/>
      <c r="J22" s="53"/>
      <c r="K22" s="260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3.5">
      <c r="A23" s="34" t="s">
        <v>81</v>
      </c>
      <c r="B23" s="35" t="s">
        <v>82</v>
      </c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42" customFormat="1" ht="13.5">
      <c r="A24" s="37" t="s">
        <v>83</v>
      </c>
      <c r="B24" s="37"/>
      <c r="C24" s="176" t="s">
        <v>436</v>
      </c>
      <c r="D24" s="177" t="s">
        <v>23</v>
      </c>
      <c r="E24" s="178">
        <v>90.1</v>
      </c>
      <c r="F24" s="178"/>
      <c r="G24" s="178"/>
      <c r="H24" s="178"/>
      <c r="I24" s="178"/>
      <c r="J24" s="178"/>
      <c r="K24" s="178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42" customFormat="1" ht="13.5">
      <c r="A25" s="37" t="s">
        <v>84</v>
      </c>
      <c r="B25" s="37" t="s">
        <v>437</v>
      </c>
      <c r="C25" s="176" t="s">
        <v>438</v>
      </c>
      <c r="D25" s="177" t="s">
        <v>346</v>
      </c>
      <c r="E25" s="178">
        <v>5.3</v>
      </c>
      <c r="F25" s="178"/>
      <c r="G25" s="178"/>
      <c r="H25" s="178"/>
      <c r="I25" s="178"/>
      <c r="J25" s="178"/>
      <c r="K25" s="178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42" customFormat="1" ht="13.5">
      <c r="A26" s="37" t="s">
        <v>85</v>
      </c>
      <c r="B26" s="37" t="s">
        <v>439</v>
      </c>
      <c r="C26" s="176" t="s">
        <v>440</v>
      </c>
      <c r="D26" s="177" t="s">
        <v>346</v>
      </c>
      <c r="E26" s="178">
        <v>5.3</v>
      </c>
      <c r="F26" s="178"/>
      <c r="G26" s="178"/>
      <c r="H26" s="178"/>
      <c r="I26" s="178"/>
      <c r="J26" s="178"/>
      <c r="K26" s="178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13.5">
      <c r="A27" s="37" t="s">
        <v>86</v>
      </c>
      <c r="B27" s="37"/>
      <c r="C27" s="176" t="s">
        <v>441</v>
      </c>
      <c r="D27" s="177" t="s">
        <v>346</v>
      </c>
      <c r="E27" s="178">
        <v>1.14</v>
      </c>
      <c r="F27" s="178"/>
      <c r="G27" s="178"/>
      <c r="H27" s="178"/>
      <c r="I27" s="178"/>
      <c r="J27" s="178"/>
      <c r="K27" s="178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42" customFormat="1" ht="13.5">
      <c r="A28" s="37" t="s">
        <v>87</v>
      </c>
      <c r="B28" s="37"/>
      <c r="C28" s="176" t="s">
        <v>442</v>
      </c>
      <c r="D28" s="177" t="s">
        <v>346</v>
      </c>
      <c r="E28" s="178">
        <v>6.88</v>
      </c>
      <c r="F28" s="178"/>
      <c r="G28" s="178"/>
      <c r="H28" s="178"/>
      <c r="I28" s="178"/>
      <c r="J28" s="178"/>
      <c r="K28" s="178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42" customFormat="1" ht="13.5">
      <c r="A29" s="37" t="s">
        <v>88</v>
      </c>
      <c r="B29" s="37" t="s">
        <v>439</v>
      </c>
      <c r="C29" s="176" t="s">
        <v>443</v>
      </c>
      <c r="D29" s="177" t="s">
        <v>346</v>
      </c>
      <c r="E29" s="178">
        <v>6.88</v>
      </c>
      <c r="F29" s="178"/>
      <c r="G29" s="178"/>
      <c r="H29" s="178"/>
      <c r="I29" s="178"/>
      <c r="J29" s="178"/>
      <c r="K29" s="178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42" customFormat="1" ht="13.5">
      <c r="A30" s="37" t="s">
        <v>89</v>
      </c>
      <c r="B30" s="37"/>
      <c r="C30" s="176" t="s">
        <v>444</v>
      </c>
      <c r="D30" s="177" t="s">
        <v>23</v>
      </c>
      <c r="E30" s="178">
        <v>16.4</v>
      </c>
      <c r="F30" s="178"/>
      <c r="G30" s="178"/>
      <c r="H30" s="178"/>
      <c r="I30" s="178"/>
      <c r="J30" s="178"/>
      <c r="K30" s="178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42" customFormat="1" ht="23.25">
      <c r="A31" s="37" t="s">
        <v>90</v>
      </c>
      <c r="B31" s="179" t="s">
        <v>445</v>
      </c>
      <c r="C31" s="180" t="s">
        <v>446</v>
      </c>
      <c r="D31" s="177" t="s">
        <v>447</v>
      </c>
      <c r="E31" s="178">
        <v>173.7</v>
      </c>
      <c r="F31" s="178"/>
      <c r="G31" s="178"/>
      <c r="H31" s="178"/>
      <c r="I31" s="178"/>
      <c r="J31" s="178"/>
      <c r="K31" s="178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3.5">
      <c r="A32" s="67" t="s">
        <v>93</v>
      </c>
      <c r="B32" s="67"/>
      <c r="C32" s="67"/>
      <c r="D32" s="67"/>
      <c r="E32" s="67"/>
      <c r="F32" s="67"/>
      <c r="G32" s="67"/>
      <c r="H32" s="67"/>
      <c r="I32" s="67"/>
      <c r="J32" s="53"/>
      <c r="K32" s="53"/>
      <c r="L32" s="68"/>
      <c r="M32" s="36"/>
      <c r="N32" s="36"/>
      <c r="O32" s="36"/>
      <c r="P32" s="36"/>
      <c r="Q32" s="36"/>
      <c r="R32" s="36"/>
      <c r="S32" s="36"/>
      <c r="T32" s="36"/>
    </row>
    <row r="33" spans="1:22" s="341" customFormat="1" ht="14.25">
      <c r="A33" s="339" t="s">
        <v>94</v>
      </c>
      <c r="B33" s="340" t="s">
        <v>95</v>
      </c>
      <c r="C33" s="340"/>
      <c r="D33" s="340"/>
      <c r="E33" s="340"/>
      <c r="F33" s="340"/>
      <c r="G33" s="340"/>
      <c r="H33" s="340"/>
      <c r="I33" s="340"/>
      <c r="J33" s="340"/>
      <c r="K33" s="340"/>
      <c r="L33" s="187"/>
      <c r="M33" s="188"/>
      <c r="N33" s="188"/>
      <c r="O33" s="188"/>
      <c r="P33" s="188"/>
      <c r="Q33" s="188"/>
      <c r="R33" s="188"/>
      <c r="S33" s="188"/>
      <c r="T33" s="188"/>
      <c r="U33" s="188"/>
      <c r="V33" s="188"/>
    </row>
    <row r="34" spans="1:22" s="261" customFormat="1" ht="14.25">
      <c r="A34" s="182" t="s">
        <v>96</v>
      </c>
      <c r="B34" s="183"/>
      <c r="C34" s="183" t="s">
        <v>448</v>
      </c>
      <c r="D34" s="184" t="s">
        <v>346</v>
      </c>
      <c r="E34" s="185">
        <v>1.37</v>
      </c>
      <c r="F34" s="186"/>
      <c r="G34" s="186"/>
      <c r="H34" s="186"/>
      <c r="I34" s="186"/>
      <c r="J34" s="186"/>
      <c r="K34" s="185"/>
      <c r="L34" s="187"/>
      <c r="M34" s="188"/>
      <c r="N34" s="188"/>
      <c r="O34" s="188"/>
      <c r="P34" s="188"/>
      <c r="Q34" s="188"/>
      <c r="R34" s="188"/>
      <c r="S34" s="188"/>
      <c r="T34" s="188"/>
      <c r="U34" s="188"/>
      <c r="V34" s="188"/>
    </row>
    <row r="35" spans="1:22" s="261" customFormat="1" ht="23.25">
      <c r="A35" s="182" t="s">
        <v>97</v>
      </c>
      <c r="B35" s="182"/>
      <c r="C35" s="190" t="s">
        <v>449</v>
      </c>
      <c r="D35" s="184" t="s">
        <v>23</v>
      </c>
      <c r="E35" s="185">
        <v>58.4</v>
      </c>
      <c r="F35" s="186"/>
      <c r="G35" s="186"/>
      <c r="H35" s="186"/>
      <c r="I35" s="186"/>
      <c r="J35" s="191"/>
      <c r="K35" s="192"/>
      <c r="L35" s="187"/>
      <c r="M35" s="188"/>
      <c r="N35" s="188"/>
      <c r="O35" s="188"/>
      <c r="P35" s="188"/>
      <c r="Q35" s="188"/>
      <c r="R35" s="188"/>
      <c r="S35" s="188"/>
      <c r="T35" s="188"/>
      <c r="U35" s="188"/>
      <c r="V35" s="188"/>
    </row>
    <row r="36" spans="1:22" s="261" customFormat="1" ht="23.25">
      <c r="A36" s="182" t="s">
        <v>98</v>
      </c>
      <c r="B36" s="182"/>
      <c r="C36" s="190" t="s">
        <v>450</v>
      </c>
      <c r="D36" s="184" t="s">
        <v>23</v>
      </c>
      <c r="E36" s="185">
        <v>135.1</v>
      </c>
      <c r="F36" s="186"/>
      <c r="G36" s="186"/>
      <c r="H36" s="186"/>
      <c r="I36" s="186"/>
      <c r="J36" s="191"/>
      <c r="K36" s="192"/>
      <c r="L36" s="187"/>
      <c r="M36" s="188"/>
      <c r="N36" s="188"/>
      <c r="O36" s="188"/>
      <c r="P36" s="188"/>
      <c r="Q36" s="188"/>
      <c r="R36" s="188"/>
      <c r="S36" s="188"/>
      <c r="T36" s="188"/>
      <c r="U36" s="188"/>
      <c r="V36" s="188"/>
    </row>
    <row r="37" spans="1:22" s="261" customFormat="1" ht="14.25">
      <c r="A37" s="182" t="s">
        <v>99</v>
      </c>
      <c r="B37" s="86" t="s">
        <v>437</v>
      </c>
      <c r="C37" s="183" t="s">
        <v>451</v>
      </c>
      <c r="D37" s="184" t="s">
        <v>346</v>
      </c>
      <c r="E37" s="185">
        <v>8.3</v>
      </c>
      <c r="F37" s="186"/>
      <c r="G37" s="186"/>
      <c r="H37" s="186"/>
      <c r="I37" s="186"/>
      <c r="J37" s="191"/>
      <c r="K37" s="192"/>
      <c r="L37" s="187"/>
      <c r="M37" s="188"/>
      <c r="N37" s="188"/>
      <c r="O37" s="188"/>
      <c r="P37" s="188"/>
      <c r="Q37" s="188"/>
      <c r="R37" s="188"/>
      <c r="S37" s="188"/>
      <c r="T37" s="188"/>
      <c r="U37" s="188"/>
      <c r="V37" s="188"/>
    </row>
    <row r="38" spans="1:22" s="261" customFormat="1" ht="14.25">
      <c r="A38" s="182" t="s">
        <v>100</v>
      </c>
      <c r="B38" s="182" t="s">
        <v>452</v>
      </c>
      <c r="C38" s="183" t="s">
        <v>453</v>
      </c>
      <c r="D38" s="184" t="s">
        <v>346</v>
      </c>
      <c r="E38" s="185">
        <v>8.3</v>
      </c>
      <c r="F38" s="186"/>
      <c r="G38" s="186"/>
      <c r="H38" s="186"/>
      <c r="I38" s="186"/>
      <c r="J38" s="191"/>
      <c r="K38" s="192"/>
      <c r="L38" s="187"/>
      <c r="M38" s="188"/>
      <c r="N38" s="188"/>
      <c r="O38" s="188"/>
      <c r="P38" s="188"/>
      <c r="Q38" s="188"/>
      <c r="R38" s="188"/>
      <c r="S38" s="188"/>
      <c r="T38" s="188"/>
      <c r="U38" s="188"/>
      <c r="V38" s="188"/>
    </row>
    <row r="39" spans="1:22" s="261" customFormat="1" ht="14.25">
      <c r="A39" s="182" t="s">
        <v>101</v>
      </c>
      <c r="B39" s="86" t="s">
        <v>437</v>
      </c>
      <c r="C39" s="183" t="s">
        <v>454</v>
      </c>
      <c r="D39" s="184" t="s">
        <v>346</v>
      </c>
      <c r="E39" s="185">
        <v>3.4</v>
      </c>
      <c r="F39" s="186"/>
      <c r="G39" s="186"/>
      <c r="H39" s="186"/>
      <c r="I39" s="186"/>
      <c r="J39" s="191"/>
      <c r="K39" s="192"/>
      <c r="L39" s="187"/>
      <c r="M39" s="188"/>
      <c r="N39" s="188"/>
      <c r="O39" s="188"/>
      <c r="P39" s="188"/>
      <c r="Q39" s="188"/>
      <c r="R39" s="188"/>
      <c r="S39" s="188"/>
      <c r="T39" s="188"/>
      <c r="U39" s="188"/>
      <c r="V39" s="188"/>
    </row>
    <row r="40" spans="1:22" s="261" customFormat="1" ht="14.25">
      <c r="A40" s="182" t="s">
        <v>102</v>
      </c>
      <c r="B40" s="182" t="s">
        <v>452</v>
      </c>
      <c r="C40" s="183" t="s">
        <v>455</v>
      </c>
      <c r="D40" s="184" t="s">
        <v>346</v>
      </c>
      <c r="E40" s="185">
        <v>3.4</v>
      </c>
      <c r="F40" s="186"/>
      <c r="G40" s="186"/>
      <c r="H40" s="186"/>
      <c r="I40" s="186"/>
      <c r="J40" s="191"/>
      <c r="K40" s="192"/>
      <c r="L40" s="187"/>
      <c r="M40" s="188"/>
      <c r="N40" s="188"/>
      <c r="O40" s="188"/>
      <c r="P40" s="188"/>
      <c r="Q40" s="188"/>
      <c r="R40" s="188"/>
      <c r="S40" s="188"/>
      <c r="T40" s="188"/>
      <c r="U40" s="188"/>
      <c r="V40" s="188"/>
    </row>
    <row r="41" spans="1:22" s="261" customFormat="1" ht="23.25">
      <c r="A41" s="182" t="s">
        <v>103</v>
      </c>
      <c r="B41" s="311" t="s">
        <v>445</v>
      </c>
      <c r="C41" s="183" t="s">
        <v>456</v>
      </c>
      <c r="D41" s="184" t="s">
        <v>447</v>
      </c>
      <c r="E41" s="185">
        <v>371.3</v>
      </c>
      <c r="F41" s="186"/>
      <c r="G41" s="186"/>
      <c r="H41" s="186"/>
      <c r="I41" s="186"/>
      <c r="J41" s="191"/>
      <c r="K41" s="192"/>
      <c r="L41" s="187"/>
      <c r="M41" s="188"/>
      <c r="N41" s="188"/>
      <c r="O41" s="188"/>
      <c r="P41" s="188"/>
      <c r="Q41" s="188"/>
      <c r="R41" s="188"/>
      <c r="S41" s="188"/>
      <c r="T41" s="188"/>
      <c r="U41" s="188"/>
      <c r="V41" s="188"/>
    </row>
    <row r="42" spans="1:22" s="261" customFormat="1" ht="14.25">
      <c r="A42" s="182" t="s">
        <v>104</v>
      </c>
      <c r="B42" s="86" t="s">
        <v>457</v>
      </c>
      <c r="C42" s="183" t="s">
        <v>458</v>
      </c>
      <c r="D42" s="184" t="s">
        <v>447</v>
      </c>
      <c r="E42" s="185">
        <v>83.8</v>
      </c>
      <c r="F42" s="186"/>
      <c r="G42" s="186"/>
      <c r="H42" s="186"/>
      <c r="I42" s="186"/>
      <c r="J42" s="191"/>
      <c r="K42" s="192"/>
      <c r="L42" s="187"/>
      <c r="M42" s="188"/>
      <c r="N42" s="188"/>
      <c r="O42" s="188"/>
      <c r="P42" s="188"/>
      <c r="Q42" s="188"/>
      <c r="R42" s="188"/>
      <c r="S42" s="188"/>
      <c r="T42" s="188"/>
      <c r="U42" s="188"/>
      <c r="V42" s="188"/>
    </row>
    <row r="43" spans="1:22" s="261" customFormat="1" ht="23.25">
      <c r="A43" s="182" t="s">
        <v>105</v>
      </c>
      <c r="B43" s="311" t="s">
        <v>445</v>
      </c>
      <c r="C43" s="183" t="s">
        <v>459</v>
      </c>
      <c r="D43" s="184" t="s">
        <v>447</v>
      </c>
      <c r="E43" s="185">
        <v>293.4</v>
      </c>
      <c r="F43" s="186"/>
      <c r="G43" s="186"/>
      <c r="H43" s="186"/>
      <c r="I43" s="186"/>
      <c r="J43" s="191"/>
      <c r="K43" s="192"/>
      <c r="L43" s="187"/>
      <c r="M43" s="188"/>
      <c r="N43" s="188"/>
      <c r="O43" s="188"/>
      <c r="P43" s="188"/>
      <c r="Q43" s="188"/>
      <c r="R43" s="188"/>
      <c r="S43" s="188"/>
      <c r="T43" s="188"/>
      <c r="U43" s="188"/>
      <c r="V43" s="188"/>
    </row>
    <row r="44" spans="1:22" s="261" customFormat="1" ht="14.25">
      <c r="A44" s="182" t="s">
        <v>460</v>
      </c>
      <c r="B44" s="86" t="s">
        <v>457</v>
      </c>
      <c r="C44" s="183" t="s">
        <v>461</v>
      </c>
      <c r="D44" s="184" t="s">
        <v>447</v>
      </c>
      <c r="E44" s="185">
        <v>147.2</v>
      </c>
      <c r="F44" s="186"/>
      <c r="G44" s="186"/>
      <c r="H44" s="186"/>
      <c r="I44" s="186"/>
      <c r="J44" s="191"/>
      <c r="K44" s="192"/>
      <c r="L44" s="187"/>
      <c r="M44" s="188"/>
      <c r="N44" s="188"/>
      <c r="O44" s="188"/>
      <c r="P44" s="188"/>
      <c r="Q44" s="188"/>
      <c r="R44" s="188"/>
      <c r="S44" s="188"/>
      <c r="T44" s="188"/>
      <c r="U44" s="188"/>
      <c r="V44" s="188"/>
    </row>
    <row r="45" spans="1:22" s="261" customFormat="1" ht="23.25">
      <c r="A45" s="182" t="s">
        <v>462</v>
      </c>
      <c r="B45" s="182"/>
      <c r="C45" s="190" t="s">
        <v>706</v>
      </c>
      <c r="D45" s="184" t="s">
        <v>23</v>
      </c>
      <c r="E45" s="185">
        <v>43.44</v>
      </c>
      <c r="F45" s="186"/>
      <c r="G45" s="186"/>
      <c r="H45" s="186"/>
      <c r="I45" s="186"/>
      <c r="J45" s="191"/>
      <c r="K45" s="192"/>
      <c r="L45" s="187"/>
      <c r="M45" s="188"/>
      <c r="N45" s="188"/>
      <c r="O45" s="188"/>
      <c r="P45" s="188"/>
      <c r="Q45" s="188"/>
      <c r="R45" s="188"/>
      <c r="S45" s="188"/>
      <c r="T45" s="188"/>
      <c r="U45" s="188"/>
      <c r="V45" s="188"/>
    </row>
    <row r="46" spans="1:22" s="261" customFormat="1" ht="14.25">
      <c r="A46" s="182" t="s">
        <v>705</v>
      </c>
      <c r="B46" s="182"/>
      <c r="C46" s="183" t="s">
        <v>465</v>
      </c>
      <c r="D46" s="184" t="s">
        <v>391</v>
      </c>
      <c r="E46" s="185">
        <v>528</v>
      </c>
      <c r="F46" s="186"/>
      <c r="G46" s="186"/>
      <c r="H46" s="186"/>
      <c r="I46" s="186"/>
      <c r="J46" s="191"/>
      <c r="K46" s="192"/>
      <c r="L46" s="187"/>
      <c r="M46" s="188"/>
      <c r="N46" s="188"/>
      <c r="O46" s="188"/>
      <c r="P46" s="188"/>
      <c r="Q46" s="188"/>
      <c r="R46" s="188"/>
      <c r="S46" s="188"/>
      <c r="T46" s="188"/>
      <c r="U46" s="188"/>
      <c r="V46" s="188"/>
    </row>
    <row r="47" spans="1:22" s="261" customFormat="1" ht="14.25">
      <c r="A47" s="182" t="s">
        <v>464</v>
      </c>
      <c r="B47" s="86" t="s">
        <v>437</v>
      </c>
      <c r="C47" s="183" t="s">
        <v>467</v>
      </c>
      <c r="D47" s="184" t="s">
        <v>346</v>
      </c>
      <c r="E47" s="185">
        <v>2.7</v>
      </c>
      <c r="F47" s="186"/>
      <c r="G47" s="186"/>
      <c r="H47" s="186"/>
      <c r="I47" s="186"/>
      <c r="J47" s="191"/>
      <c r="K47" s="192"/>
      <c r="L47" s="187"/>
      <c r="M47" s="188"/>
      <c r="N47" s="188"/>
      <c r="O47" s="188"/>
      <c r="P47" s="188"/>
      <c r="Q47" s="188"/>
      <c r="R47" s="188"/>
      <c r="S47" s="188"/>
      <c r="T47" s="188"/>
      <c r="U47" s="188"/>
      <c r="V47" s="188"/>
    </row>
    <row r="48" spans="1:22" s="261" customFormat="1" ht="14.25">
      <c r="A48" s="182" t="s">
        <v>707</v>
      </c>
      <c r="B48" s="182" t="s">
        <v>452</v>
      </c>
      <c r="C48" s="183" t="s">
        <v>892</v>
      </c>
      <c r="D48" s="184" t="s">
        <v>346</v>
      </c>
      <c r="E48" s="185">
        <v>2.7</v>
      </c>
      <c r="F48" s="186"/>
      <c r="G48" s="186"/>
      <c r="H48" s="186"/>
      <c r="I48" s="186"/>
      <c r="J48" s="191"/>
      <c r="K48" s="192"/>
      <c r="L48" s="187"/>
      <c r="M48" s="188"/>
      <c r="N48" s="188"/>
      <c r="O48" s="188"/>
      <c r="P48" s="188"/>
      <c r="Q48" s="188"/>
      <c r="R48" s="188"/>
      <c r="S48" s="188"/>
      <c r="T48" s="188"/>
      <c r="U48" s="188"/>
      <c r="V48" s="188"/>
    </row>
    <row r="49" spans="1:22" s="261" customFormat="1" ht="23.25">
      <c r="A49" s="182" t="s">
        <v>466</v>
      </c>
      <c r="B49" s="182"/>
      <c r="C49" s="190" t="s">
        <v>893</v>
      </c>
      <c r="D49" s="184" t="s">
        <v>23</v>
      </c>
      <c r="E49" s="185">
        <v>5.8</v>
      </c>
      <c r="F49" s="186"/>
      <c r="G49" s="186"/>
      <c r="H49" s="186"/>
      <c r="I49" s="186"/>
      <c r="J49" s="191"/>
      <c r="K49" s="192"/>
      <c r="L49" s="187"/>
      <c r="M49" s="188"/>
      <c r="N49" s="188"/>
      <c r="O49" s="188"/>
      <c r="P49" s="188"/>
      <c r="Q49" s="188"/>
      <c r="R49" s="188"/>
      <c r="S49" s="188"/>
      <c r="T49" s="188"/>
      <c r="U49" s="188"/>
      <c r="V49" s="188"/>
    </row>
    <row r="50" spans="1:22" s="261" customFormat="1" ht="14.25">
      <c r="A50" s="182" t="s">
        <v>468</v>
      </c>
      <c r="B50" s="86" t="s">
        <v>457</v>
      </c>
      <c r="C50" s="183" t="s">
        <v>894</v>
      </c>
      <c r="D50" s="184" t="s">
        <v>447</v>
      </c>
      <c r="E50" s="185">
        <v>14.4</v>
      </c>
      <c r="F50" s="186"/>
      <c r="G50" s="186"/>
      <c r="H50" s="186"/>
      <c r="I50" s="186"/>
      <c r="J50" s="191"/>
      <c r="K50" s="192"/>
      <c r="L50" s="187"/>
      <c r="M50" s="188"/>
      <c r="N50" s="188"/>
      <c r="O50" s="188"/>
      <c r="P50" s="188"/>
      <c r="Q50" s="188"/>
      <c r="R50" s="188"/>
      <c r="S50" s="188"/>
      <c r="T50" s="188"/>
      <c r="U50" s="188"/>
      <c r="V50" s="188"/>
    </row>
    <row r="51" spans="1:22" s="73" customFormat="1" ht="13.5">
      <c r="A51" s="79" t="s">
        <v>106</v>
      </c>
      <c r="B51" s="79"/>
      <c r="C51" s="79"/>
      <c r="D51" s="79"/>
      <c r="E51" s="79"/>
      <c r="F51" s="79"/>
      <c r="G51" s="79"/>
      <c r="H51" s="79"/>
      <c r="I51" s="79"/>
      <c r="J51" s="53"/>
      <c r="K51" s="53"/>
      <c r="L51" s="80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s="78" customFormat="1" ht="13.5">
      <c r="A52" s="74" t="s">
        <v>107</v>
      </c>
      <c r="B52" s="81" t="s">
        <v>108</v>
      </c>
      <c r="C52" s="81"/>
      <c r="D52" s="81"/>
      <c r="E52" s="81"/>
      <c r="F52" s="81"/>
      <c r="G52" s="81"/>
      <c r="H52" s="81"/>
      <c r="I52" s="81"/>
      <c r="J52" s="81"/>
      <c r="K52" s="81"/>
      <c r="L52" s="71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0" s="42" customFormat="1" ht="23.25">
      <c r="A53" s="37" t="s">
        <v>109</v>
      </c>
      <c r="B53" s="38" t="s">
        <v>470</v>
      </c>
      <c r="C53" s="44" t="s">
        <v>471</v>
      </c>
      <c r="D53" s="40" t="s">
        <v>23</v>
      </c>
      <c r="E53" s="41">
        <f>(1.4*19.2)+(1.4*5.15*4)+(1.4*5.65*4)+(1.23*13.45)+(((16.85+5.5)*2)*0.2)</f>
        <v>112.84349999999999</v>
      </c>
      <c r="F53" s="41"/>
      <c r="G53" s="41"/>
      <c r="H53" s="41"/>
      <c r="I53" s="41"/>
      <c r="J53" s="41"/>
      <c r="K53" s="77"/>
      <c r="L53" s="68"/>
      <c r="M53" s="36"/>
      <c r="N53" s="36"/>
      <c r="O53" s="36"/>
      <c r="P53" s="36"/>
      <c r="Q53" s="36"/>
      <c r="R53" s="36"/>
      <c r="S53" s="36"/>
      <c r="T53" s="36"/>
    </row>
    <row r="54" spans="1:20" s="42" customFormat="1" ht="23.25">
      <c r="A54" s="37" t="s">
        <v>110</v>
      </c>
      <c r="B54" s="38" t="s">
        <v>472</v>
      </c>
      <c r="C54" s="44" t="s">
        <v>473</v>
      </c>
      <c r="D54" s="40" t="s">
        <v>23</v>
      </c>
      <c r="E54" s="41">
        <f>2.85*26.9</f>
        <v>76.66499999999999</v>
      </c>
      <c r="F54" s="41"/>
      <c r="G54" s="41"/>
      <c r="H54" s="41"/>
      <c r="I54" s="41"/>
      <c r="J54" s="41"/>
      <c r="K54" s="41"/>
      <c r="L54" s="36"/>
      <c r="M54" s="36"/>
      <c r="N54" s="36"/>
      <c r="O54" s="36"/>
      <c r="P54" s="36"/>
      <c r="Q54" s="36"/>
      <c r="R54" s="36"/>
      <c r="S54" s="36"/>
      <c r="T54" s="36"/>
    </row>
    <row r="55" spans="1:20" s="42" customFormat="1" ht="24.75" customHeight="1">
      <c r="A55" s="37" t="s">
        <v>111</v>
      </c>
      <c r="B55" s="38" t="s">
        <v>475</v>
      </c>
      <c r="C55" s="44" t="s">
        <v>476</v>
      </c>
      <c r="D55" s="40" t="s">
        <v>346</v>
      </c>
      <c r="E55" s="41">
        <f>(0.2*0.1)*(2.1+(1.4*4)+2.4)</f>
        <v>0.20200000000000004</v>
      </c>
      <c r="F55" s="41"/>
      <c r="G55" s="41"/>
      <c r="H55" s="41"/>
      <c r="I55" s="41"/>
      <c r="J55" s="41"/>
      <c r="K55" s="41"/>
      <c r="L55" s="36"/>
      <c r="M55" s="36"/>
      <c r="N55" s="36"/>
      <c r="O55" s="36"/>
      <c r="P55" s="36"/>
      <c r="Q55" s="36"/>
      <c r="R55" s="36"/>
      <c r="S55" s="36"/>
      <c r="T55" s="36"/>
    </row>
    <row r="56" spans="1:22" s="73" customFormat="1" ht="13.5">
      <c r="A56" s="79" t="s">
        <v>119</v>
      </c>
      <c r="B56" s="79"/>
      <c r="C56" s="79"/>
      <c r="D56" s="79"/>
      <c r="E56" s="79"/>
      <c r="F56" s="79"/>
      <c r="G56" s="79"/>
      <c r="H56" s="79"/>
      <c r="I56" s="79"/>
      <c r="J56" s="53"/>
      <c r="K56" s="53"/>
      <c r="L56" s="80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0" s="42" customFormat="1" ht="15.75" customHeight="1">
      <c r="A57" s="34" t="s">
        <v>120</v>
      </c>
      <c r="B57" s="35" t="s">
        <v>121</v>
      </c>
      <c r="C57" s="35"/>
      <c r="D57" s="35"/>
      <c r="E57" s="35"/>
      <c r="F57" s="35"/>
      <c r="G57" s="35"/>
      <c r="H57" s="35"/>
      <c r="I57" s="35"/>
      <c r="J57" s="35"/>
      <c r="K57" s="35"/>
      <c r="L57" s="68"/>
      <c r="M57" s="36"/>
      <c r="N57" s="36"/>
      <c r="O57" s="36"/>
      <c r="P57" s="36"/>
      <c r="Q57" s="36"/>
      <c r="R57" s="36"/>
      <c r="S57" s="36"/>
      <c r="T57" s="36"/>
    </row>
    <row r="58" spans="1:20" s="42" customFormat="1" ht="23.25">
      <c r="A58" s="82" t="s">
        <v>122</v>
      </c>
      <c r="B58" s="38" t="s">
        <v>492</v>
      </c>
      <c r="C58" s="44" t="s">
        <v>821</v>
      </c>
      <c r="D58" s="40" t="s">
        <v>391</v>
      </c>
      <c r="E58" s="295">
        <v>1</v>
      </c>
      <c r="F58" s="83"/>
      <c r="G58" s="83"/>
      <c r="H58" s="83"/>
      <c r="I58" s="83"/>
      <c r="J58" s="83"/>
      <c r="K58" s="41"/>
      <c r="L58" s="36"/>
      <c r="M58" s="36"/>
      <c r="N58" s="36"/>
      <c r="O58" s="36"/>
      <c r="P58" s="36"/>
      <c r="Q58" s="36"/>
      <c r="R58" s="36"/>
      <c r="S58" s="36"/>
      <c r="T58" s="36"/>
    </row>
    <row r="59" spans="1:20" s="42" customFormat="1" ht="13.5">
      <c r="A59" s="82" t="s">
        <v>123</v>
      </c>
      <c r="B59" s="75" t="s">
        <v>720</v>
      </c>
      <c r="C59" s="39" t="s">
        <v>721</v>
      </c>
      <c r="D59" s="40" t="s">
        <v>391</v>
      </c>
      <c r="E59" s="83">
        <v>1</v>
      </c>
      <c r="F59" s="83"/>
      <c r="G59" s="83"/>
      <c r="H59" s="83"/>
      <c r="I59" s="83"/>
      <c r="J59" s="83"/>
      <c r="K59" s="41"/>
      <c r="L59" s="36"/>
      <c r="M59" s="36"/>
      <c r="N59" s="36"/>
      <c r="O59" s="36"/>
      <c r="P59" s="36"/>
      <c r="Q59" s="36"/>
      <c r="R59" s="36"/>
      <c r="S59" s="36"/>
      <c r="T59" s="36"/>
    </row>
    <row r="60" spans="1:20" s="42" customFormat="1" ht="13.5">
      <c r="A60" s="82" t="s">
        <v>124</v>
      </c>
      <c r="B60" s="38" t="s">
        <v>495</v>
      </c>
      <c r="C60" s="44" t="s">
        <v>496</v>
      </c>
      <c r="D60" s="40" t="s">
        <v>391</v>
      </c>
      <c r="E60" s="83">
        <v>1</v>
      </c>
      <c r="F60" s="83"/>
      <c r="G60" s="83"/>
      <c r="H60" s="83"/>
      <c r="I60" s="83"/>
      <c r="J60" s="83"/>
      <c r="K60" s="41"/>
      <c r="L60" s="36"/>
      <c r="M60" s="36"/>
      <c r="N60" s="36"/>
      <c r="O60" s="36"/>
      <c r="P60" s="36"/>
      <c r="Q60" s="36"/>
      <c r="R60" s="36"/>
      <c r="S60" s="36"/>
      <c r="T60" s="36"/>
    </row>
    <row r="61" spans="1:20" s="42" customFormat="1" ht="23.25">
      <c r="A61" s="82" t="s">
        <v>125</v>
      </c>
      <c r="B61" s="38" t="s">
        <v>492</v>
      </c>
      <c r="C61" s="44" t="s">
        <v>889</v>
      </c>
      <c r="D61" s="40" t="s">
        <v>391</v>
      </c>
      <c r="E61" s="83">
        <v>5</v>
      </c>
      <c r="F61" s="83"/>
      <c r="G61" s="83"/>
      <c r="H61" s="83"/>
      <c r="I61" s="83"/>
      <c r="J61" s="83"/>
      <c r="K61" s="41"/>
      <c r="L61" s="36"/>
      <c r="M61" s="36"/>
      <c r="N61" s="36"/>
      <c r="O61" s="36"/>
      <c r="P61" s="36"/>
      <c r="Q61" s="36"/>
      <c r="R61" s="36"/>
      <c r="S61" s="36"/>
      <c r="T61" s="36"/>
    </row>
    <row r="62" spans="1:20" s="42" customFormat="1" ht="23.25">
      <c r="A62" s="82" t="s">
        <v>126</v>
      </c>
      <c r="B62" s="38" t="s">
        <v>486</v>
      </c>
      <c r="C62" s="44" t="s">
        <v>823</v>
      </c>
      <c r="D62" s="40" t="s">
        <v>391</v>
      </c>
      <c r="E62" s="83">
        <v>4</v>
      </c>
      <c r="F62" s="83"/>
      <c r="G62" s="83"/>
      <c r="H62" s="83"/>
      <c r="I62" s="83"/>
      <c r="J62" s="83"/>
      <c r="K62" s="41"/>
      <c r="L62" s="36"/>
      <c r="M62" s="36"/>
      <c r="N62" s="36"/>
      <c r="O62" s="36"/>
      <c r="P62" s="36"/>
      <c r="Q62" s="36"/>
      <c r="R62" s="36"/>
      <c r="S62" s="36"/>
      <c r="T62" s="36"/>
    </row>
    <row r="63" spans="1:20" s="42" customFormat="1" ht="23.25">
      <c r="A63" s="82" t="s">
        <v>127</v>
      </c>
      <c r="B63" s="38" t="s">
        <v>486</v>
      </c>
      <c r="C63" s="44" t="s">
        <v>824</v>
      </c>
      <c r="D63" s="40" t="s">
        <v>391</v>
      </c>
      <c r="E63" s="83">
        <v>4</v>
      </c>
      <c r="F63" s="83"/>
      <c r="G63" s="83"/>
      <c r="H63" s="83"/>
      <c r="I63" s="83"/>
      <c r="J63" s="83"/>
      <c r="K63" s="41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42" customFormat="1" ht="13.5">
      <c r="A64" s="82" t="s">
        <v>128</v>
      </c>
      <c r="B64" s="38" t="s">
        <v>512</v>
      </c>
      <c r="C64" s="44" t="s">
        <v>825</v>
      </c>
      <c r="D64" s="40" t="s">
        <v>391</v>
      </c>
      <c r="E64" s="41">
        <v>1</v>
      </c>
      <c r="F64" s="83"/>
      <c r="G64" s="83"/>
      <c r="H64" s="83"/>
      <c r="I64" s="83"/>
      <c r="J64" s="83"/>
      <c r="K64" s="41"/>
      <c r="L64" s="36"/>
      <c r="M64" s="36"/>
      <c r="N64" s="36"/>
      <c r="O64" s="36"/>
      <c r="P64" s="36"/>
      <c r="Q64" s="36"/>
      <c r="R64" s="36"/>
      <c r="S64" s="36"/>
      <c r="T64" s="36"/>
    </row>
    <row r="65" spans="1:20" s="42" customFormat="1" ht="15.75" customHeight="1">
      <c r="A65" s="67" t="s">
        <v>132</v>
      </c>
      <c r="B65" s="67"/>
      <c r="C65" s="67"/>
      <c r="D65" s="67"/>
      <c r="E65" s="67"/>
      <c r="F65" s="67"/>
      <c r="G65" s="67"/>
      <c r="H65" s="67"/>
      <c r="I65" s="67"/>
      <c r="J65" s="267"/>
      <c r="K65" s="267"/>
      <c r="L65" s="68"/>
      <c r="M65" s="36"/>
      <c r="N65" s="36"/>
      <c r="O65" s="36"/>
      <c r="P65" s="36"/>
      <c r="Q65" s="36"/>
      <c r="R65" s="36"/>
      <c r="S65" s="36"/>
      <c r="T65" s="36"/>
    </row>
    <row r="66" spans="1:22" s="73" customFormat="1" ht="13.5">
      <c r="A66" s="69" t="s">
        <v>133</v>
      </c>
      <c r="B66" s="85" t="s">
        <v>134</v>
      </c>
      <c r="C66" s="85"/>
      <c r="D66" s="85"/>
      <c r="E66" s="85"/>
      <c r="F66" s="85"/>
      <c r="G66" s="85"/>
      <c r="H66" s="85"/>
      <c r="I66" s="85"/>
      <c r="J66" s="85"/>
      <c r="K66" s="85"/>
      <c r="L66" s="71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1:22" s="78" customFormat="1" ht="23.25">
      <c r="A67" s="74" t="s">
        <v>135</v>
      </c>
      <c r="B67" s="120" t="s">
        <v>517</v>
      </c>
      <c r="C67" s="47" t="s">
        <v>741</v>
      </c>
      <c r="D67" s="75" t="s">
        <v>23</v>
      </c>
      <c r="E67" s="41">
        <v>49.88</v>
      </c>
      <c r="F67" s="41"/>
      <c r="G67" s="41"/>
      <c r="H67" s="41"/>
      <c r="I67" s="41"/>
      <c r="J67" s="77"/>
      <c r="K67" s="41"/>
      <c r="L67" s="71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1:22" s="78" customFormat="1" ht="23.25">
      <c r="A68" s="74" t="s">
        <v>136</v>
      </c>
      <c r="B68" s="120" t="s">
        <v>519</v>
      </c>
      <c r="C68" s="47" t="s">
        <v>520</v>
      </c>
      <c r="D68" s="75" t="s">
        <v>23</v>
      </c>
      <c r="E68" s="41">
        <f>E67*1.005</f>
        <v>50.1294</v>
      </c>
      <c r="F68" s="41"/>
      <c r="G68" s="41"/>
      <c r="H68" s="41"/>
      <c r="I68" s="41"/>
      <c r="J68" s="77"/>
      <c r="K68" s="41"/>
      <c r="L68" s="71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2" s="78" customFormat="1" ht="13.5">
      <c r="A69" s="74" t="s">
        <v>137</v>
      </c>
      <c r="B69" s="120">
        <v>72104</v>
      </c>
      <c r="C69" s="47" t="s">
        <v>521</v>
      </c>
      <c r="D69" s="75" t="s">
        <v>189</v>
      </c>
      <c r="E69" s="39">
        <f>(2*7.9)*1.005</f>
        <v>15.879</v>
      </c>
      <c r="F69" s="41"/>
      <c r="G69" s="41"/>
      <c r="H69" s="41"/>
      <c r="I69" s="41"/>
      <c r="J69" s="77"/>
      <c r="K69" s="41"/>
      <c r="L69" s="71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2" s="78" customFormat="1" ht="13.5">
      <c r="A70" s="74" t="s">
        <v>138</v>
      </c>
      <c r="B70" s="120">
        <v>72104</v>
      </c>
      <c r="C70" s="46" t="s">
        <v>523</v>
      </c>
      <c r="D70" s="75" t="s">
        <v>189</v>
      </c>
      <c r="E70" s="295">
        <v>5.25</v>
      </c>
      <c r="F70" s="41"/>
      <c r="G70" s="41"/>
      <c r="H70" s="41"/>
      <c r="I70" s="41"/>
      <c r="J70" s="77"/>
      <c r="K70" s="41"/>
      <c r="L70" s="71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1:22" s="78" customFormat="1" ht="13.5">
      <c r="A71" s="74" t="s">
        <v>139</v>
      </c>
      <c r="B71" s="120">
        <v>72106</v>
      </c>
      <c r="C71" s="46" t="s">
        <v>522</v>
      </c>
      <c r="D71" s="75" t="s">
        <v>189</v>
      </c>
      <c r="E71" s="41">
        <f>(2*7.9)*1.005</f>
        <v>15.879</v>
      </c>
      <c r="F71" s="41"/>
      <c r="G71" s="41"/>
      <c r="H71" s="41"/>
      <c r="I71" s="41"/>
      <c r="J71" s="77"/>
      <c r="K71" s="41"/>
      <c r="L71" s="71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1:22" s="73" customFormat="1" ht="14.25">
      <c r="A72" s="79" t="s">
        <v>145</v>
      </c>
      <c r="B72" s="79"/>
      <c r="C72" s="79"/>
      <c r="D72" s="79"/>
      <c r="E72" s="79"/>
      <c r="F72" s="79"/>
      <c r="G72" s="79"/>
      <c r="H72" s="79"/>
      <c r="I72" s="79"/>
      <c r="J72" s="267"/>
      <c r="K72" s="267"/>
      <c r="L72" s="80"/>
      <c r="M72" s="72"/>
      <c r="N72" s="72"/>
      <c r="O72" s="72"/>
      <c r="P72" s="72"/>
      <c r="Q72" s="72"/>
      <c r="R72" s="72"/>
      <c r="S72" s="72"/>
      <c r="T72" s="72"/>
      <c r="U72" s="72"/>
      <c r="V72" s="72"/>
    </row>
    <row r="73" spans="1:20" s="42" customFormat="1" ht="13.5">
      <c r="A73" s="37" t="s">
        <v>146</v>
      </c>
      <c r="B73" s="55" t="s">
        <v>147</v>
      </c>
      <c r="C73" s="55"/>
      <c r="D73" s="55"/>
      <c r="E73" s="55"/>
      <c r="F73" s="55"/>
      <c r="G73" s="55"/>
      <c r="H73" s="55"/>
      <c r="I73" s="55"/>
      <c r="J73" s="55"/>
      <c r="K73" s="55"/>
      <c r="L73" s="68"/>
      <c r="M73" s="36"/>
      <c r="N73" s="36"/>
      <c r="O73" s="36"/>
      <c r="P73" s="36"/>
      <c r="Q73" s="36"/>
      <c r="R73" s="36"/>
      <c r="S73" s="36"/>
      <c r="T73" s="36"/>
    </row>
    <row r="74" spans="1:20" s="91" customFormat="1" ht="14.25">
      <c r="A74" s="86" t="s">
        <v>148</v>
      </c>
      <c r="B74" s="202" t="s">
        <v>524</v>
      </c>
      <c r="C74" s="271" t="s">
        <v>525</v>
      </c>
      <c r="D74" s="272" t="s">
        <v>189</v>
      </c>
      <c r="E74" s="88">
        <v>152.94</v>
      </c>
      <c r="F74" s="271"/>
      <c r="G74" s="83"/>
      <c r="H74" s="271"/>
      <c r="I74" s="83"/>
      <c r="J74" s="83"/>
      <c r="K74" s="83"/>
      <c r="L74" s="90"/>
      <c r="M74" s="90"/>
      <c r="N74" s="90"/>
      <c r="O74" s="90"/>
      <c r="P74" s="90"/>
      <c r="Q74" s="90"/>
      <c r="R74" s="90"/>
      <c r="S74" s="90"/>
      <c r="T74" s="90"/>
    </row>
    <row r="75" spans="1:20" s="91" customFormat="1" ht="14.25">
      <c r="A75" s="86" t="s">
        <v>149</v>
      </c>
      <c r="B75" s="203"/>
      <c r="C75" s="230" t="s">
        <v>530</v>
      </c>
      <c r="D75" s="177" t="s">
        <v>391</v>
      </c>
      <c r="E75" s="41">
        <v>7</v>
      </c>
      <c r="F75" s="41"/>
      <c r="G75" s="41"/>
      <c r="H75" s="41"/>
      <c r="I75" s="41"/>
      <c r="J75" s="41"/>
      <c r="K75" s="83"/>
      <c r="L75" s="90"/>
      <c r="M75" s="90"/>
      <c r="N75" s="90"/>
      <c r="O75" s="90"/>
      <c r="P75" s="90"/>
      <c r="Q75" s="90"/>
      <c r="R75" s="90"/>
      <c r="S75" s="90"/>
      <c r="T75" s="90"/>
    </row>
    <row r="76" spans="1:20" s="91" customFormat="1" ht="14.25">
      <c r="A76" s="86" t="s">
        <v>150</v>
      </c>
      <c r="B76" s="203"/>
      <c r="C76" s="204" t="s">
        <v>531</v>
      </c>
      <c r="D76" s="177" t="s">
        <v>391</v>
      </c>
      <c r="E76" s="205">
        <v>9</v>
      </c>
      <c r="F76" s="41"/>
      <c r="G76" s="41"/>
      <c r="H76" s="206"/>
      <c r="I76" s="41"/>
      <c r="J76" s="41"/>
      <c r="K76" s="83"/>
      <c r="L76" s="90"/>
      <c r="M76" s="90"/>
      <c r="N76" s="90"/>
      <c r="O76" s="90"/>
      <c r="P76" s="90"/>
      <c r="Q76" s="90"/>
      <c r="R76" s="90"/>
      <c r="S76" s="90"/>
      <c r="T76" s="90"/>
    </row>
    <row r="77" spans="1:20" s="91" customFormat="1" ht="14.25">
      <c r="A77" s="86" t="s">
        <v>151</v>
      </c>
      <c r="B77" s="203"/>
      <c r="C77" s="230" t="s">
        <v>532</v>
      </c>
      <c r="D77" s="177" t="s">
        <v>189</v>
      </c>
      <c r="E77" s="41">
        <v>30.58</v>
      </c>
      <c r="F77" s="41"/>
      <c r="G77" s="41"/>
      <c r="H77" s="41"/>
      <c r="I77" s="41"/>
      <c r="J77" s="41"/>
      <c r="K77" s="83"/>
      <c r="L77" s="90"/>
      <c r="M77" s="90"/>
      <c r="N77" s="90"/>
      <c r="O77" s="90"/>
      <c r="P77" s="90"/>
      <c r="Q77" s="90"/>
      <c r="R77" s="90"/>
      <c r="S77" s="90"/>
      <c r="T77" s="90"/>
    </row>
    <row r="78" spans="1:20" s="91" customFormat="1" ht="14.25">
      <c r="A78" s="86" t="s">
        <v>152</v>
      </c>
      <c r="B78" s="203"/>
      <c r="C78" s="230" t="s">
        <v>535</v>
      </c>
      <c r="D78" s="177" t="s">
        <v>391</v>
      </c>
      <c r="E78" s="41">
        <v>2</v>
      </c>
      <c r="F78" s="41"/>
      <c r="G78" s="41"/>
      <c r="H78" s="41"/>
      <c r="I78" s="41"/>
      <c r="J78" s="41"/>
      <c r="K78" s="83"/>
      <c r="L78" s="90"/>
      <c r="M78" s="90"/>
      <c r="N78" s="90"/>
      <c r="O78" s="90"/>
      <c r="P78" s="90"/>
      <c r="Q78" s="90"/>
      <c r="R78" s="90"/>
      <c r="S78" s="90"/>
      <c r="T78" s="90"/>
    </row>
    <row r="79" spans="1:20" s="91" customFormat="1" ht="14.25">
      <c r="A79" s="86" t="s">
        <v>153</v>
      </c>
      <c r="B79" s="203"/>
      <c r="C79" s="230" t="s">
        <v>747</v>
      </c>
      <c r="D79" s="177" t="s">
        <v>391</v>
      </c>
      <c r="E79" s="41">
        <v>1</v>
      </c>
      <c r="F79" s="41"/>
      <c r="G79" s="41"/>
      <c r="H79" s="41"/>
      <c r="I79" s="41"/>
      <c r="J79" s="41"/>
      <c r="K79" s="83"/>
      <c r="L79" s="90"/>
      <c r="M79" s="90"/>
      <c r="N79" s="90"/>
      <c r="O79" s="90"/>
      <c r="P79" s="90"/>
      <c r="Q79" s="90"/>
      <c r="R79" s="90"/>
      <c r="S79" s="90"/>
      <c r="T79" s="90"/>
    </row>
    <row r="80" spans="1:20" s="91" customFormat="1" ht="14.25">
      <c r="A80" s="86" t="s">
        <v>154</v>
      </c>
      <c r="B80" s="203"/>
      <c r="C80" s="211" t="s">
        <v>542</v>
      </c>
      <c r="D80" s="177" t="s">
        <v>391</v>
      </c>
      <c r="E80" s="41">
        <v>2</v>
      </c>
      <c r="F80" s="211"/>
      <c r="G80" s="41"/>
      <c r="H80" s="41"/>
      <c r="I80" s="41"/>
      <c r="J80" s="41"/>
      <c r="K80" s="83"/>
      <c r="L80" s="90"/>
      <c r="M80" s="90"/>
      <c r="N80" s="90"/>
      <c r="O80" s="90"/>
      <c r="P80" s="90"/>
      <c r="Q80" s="90"/>
      <c r="R80" s="90"/>
      <c r="S80" s="90"/>
      <c r="T80" s="90"/>
    </row>
    <row r="81" spans="1:20" s="91" customFormat="1" ht="14.25">
      <c r="A81" s="86" t="s">
        <v>155</v>
      </c>
      <c r="B81" s="203"/>
      <c r="C81" s="211" t="s">
        <v>544</v>
      </c>
      <c r="D81" s="177" t="s">
        <v>391</v>
      </c>
      <c r="E81" s="41">
        <v>9</v>
      </c>
      <c r="F81" s="211"/>
      <c r="G81" s="41"/>
      <c r="H81" s="211"/>
      <c r="I81" s="41"/>
      <c r="J81" s="41"/>
      <c r="K81" s="83"/>
      <c r="L81" s="90"/>
      <c r="M81" s="90"/>
      <c r="N81" s="90"/>
      <c r="O81" s="90"/>
      <c r="P81" s="90"/>
      <c r="Q81" s="90"/>
      <c r="R81" s="90"/>
      <c r="S81" s="90"/>
      <c r="T81" s="90"/>
    </row>
    <row r="82" spans="1:20" s="91" customFormat="1" ht="14.25">
      <c r="A82" s="86" t="s">
        <v>156</v>
      </c>
      <c r="B82" s="214" t="s">
        <v>546</v>
      </c>
      <c r="C82" s="211" t="s">
        <v>749</v>
      </c>
      <c r="D82" s="177" t="s">
        <v>391</v>
      </c>
      <c r="E82" s="41">
        <v>1</v>
      </c>
      <c r="F82" s="41"/>
      <c r="G82" s="41"/>
      <c r="H82" s="211"/>
      <c r="I82" s="41"/>
      <c r="J82" s="41"/>
      <c r="K82" s="83"/>
      <c r="L82" s="90"/>
      <c r="M82" s="90"/>
      <c r="N82" s="90"/>
      <c r="O82" s="90"/>
      <c r="P82" s="90"/>
      <c r="Q82" s="90"/>
      <c r="R82" s="90"/>
      <c r="S82" s="90"/>
      <c r="T82" s="90"/>
    </row>
    <row r="83" spans="1:20" s="91" customFormat="1" ht="14.25">
      <c r="A83" s="86" t="s">
        <v>157</v>
      </c>
      <c r="B83" s="214" t="s">
        <v>546</v>
      </c>
      <c r="C83" s="211" t="s">
        <v>547</v>
      </c>
      <c r="D83" s="177" t="s">
        <v>391</v>
      </c>
      <c r="E83" s="41">
        <v>2</v>
      </c>
      <c r="F83" s="41"/>
      <c r="G83" s="41"/>
      <c r="H83" s="211"/>
      <c r="I83" s="41"/>
      <c r="J83" s="41"/>
      <c r="K83" s="83"/>
      <c r="L83" s="90"/>
      <c r="M83" s="90"/>
      <c r="N83" s="90"/>
      <c r="O83" s="90"/>
      <c r="P83" s="90"/>
      <c r="Q83" s="90"/>
      <c r="R83" s="90"/>
      <c r="S83" s="90"/>
      <c r="T83" s="90"/>
    </row>
    <row r="84" spans="1:20" s="91" customFormat="1" ht="14.25">
      <c r="A84" s="86"/>
      <c r="B84" s="203"/>
      <c r="C84" s="211" t="s">
        <v>556</v>
      </c>
      <c r="D84" s="177" t="s">
        <v>391</v>
      </c>
      <c r="E84" s="41">
        <v>1</v>
      </c>
      <c r="F84" s="41"/>
      <c r="G84" s="41"/>
      <c r="H84" s="211"/>
      <c r="I84" s="41"/>
      <c r="J84" s="41"/>
      <c r="K84" s="83"/>
      <c r="L84" s="90"/>
      <c r="M84" s="90"/>
      <c r="N84" s="90"/>
      <c r="O84" s="90"/>
      <c r="P84" s="90"/>
      <c r="Q84" s="90"/>
      <c r="R84" s="90"/>
      <c r="S84" s="90"/>
      <c r="T84" s="90"/>
    </row>
    <row r="85" spans="1:20" s="91" customFormat="1" ht="14.25">
      <c r="A85" s="86" t="s">
        <v>537</v>
      </c>
      <c r="B85" s="203"/>
      <c r="C85" s="211" t="s">
        <v>895</v>
      </c>
      <c r="D85" s="177" t="s">
        <v>391</v>
      </c>
      <c r="E85" s="41">
        <v>1</v>
      </c>
      <c r="F85" s="41"/>
      <c r="G85" s="41"/>
      <c r="H85" s="211"/>
      <c r="I85" s="41"/>
      <c r="J85" s="41"/>
      <c r="K85" s="83"/>
      <c r="L85" s="90"/>
      <c r="M85" s="90"/>
      <c r="N85" s="90"/>
      <c r="O85" s="90"/>
      <c r="P85" s="90"/>
      <c r="Q85" s="90"/>
      <c r="R85" s="90"/>
      <c r="S85" s="90"/>
      <c r="T85" s="90"/>
    </row>
    <row r="86" spans="1:20" ht="14.25" customHeight="1">
      <c r="A86" s="67" t="s">
        <v>158</v>
      </c>
      <c r="B86" s="67"/>
      <c r="C86" s="67"/>
      <c r="D86" s="67"/>
      <c r="E86" s="67"/>
      <c r="F86" s="67"/>
      <c r="G86" s="67"/>
      <c r="H86" s="67"/>
      <c r="I86" s="67"/>
      <c r="J86" s="267"/>
      <c r="K86" s="260"/>
      <c r="L86" s="36"/>
      <c r="M86" s="36"/>
      <c r="N86" s="36"/>
      <c r="O86" s="36"/>
      <c r="P86" s="36"/>
      <c r="Q86" s="36"/>
      <c r="R86" s="36"/>
      <c r="S86" s="36"/>
      <c r="T86" s="36"/>
    </row>
    <row r="87" spans="1:20" s="42" customFormat="1" ht="13.5" customHeight="1">
      <c r="A87" s="34" t="s">
        <v>159</v>
      </c>
      <c r="B87" s="95" t="s">
        <v>160</v>
      </c>
      <c r="C87" s="95"/>
      <c r="D87" s="95"/>
      <c r="E87" s="95"/>
      <c r="F87" s="95"/>
      <c r="G87" s="95"/>
      <c r="H87" s="95"/>
      <c r="I87" s="95"/>
      <c r="J87" s="95"/>
      <c r="K87" s="95"/>
      <c r="L87" s="36"/>
      <c r="M87" s="36"/>
      <c r="N87" s="36"/>
      <c r="O87" s="36"/>
      <c r="P87" s="36"/>
      <c r="Q87" s="36"/>
      <c r="R87" s="36"/>
      <c r="S87" s="36"/>
      <c r="T87" s="36"/>
    </row>
    <row r="88" spans="1:20" s="42" customFormat="1" ht="13.5">
      <c r="A88" s="37" t="s">
        <v>161</v>
      </c>
      <c r="B88" s="37"/>
      <c r="C88" s="204" t="s">
        <v>560</v>
      </c>
      <c r="D88" s="281" t="s">
        <v>189</v>
      </c>
      <c r="E88" s="218">
        <v>30</v>
      </c>
      <c r="F88" s="41"/>
      <c r="G88" s="41"/>
      <c r="H88" s="41"/>
      <c r="I88" s="41"/>
      <c r="J88" s="41"/>
      <c r="K88" s="83"/>
      <c r="L88" s="36"/>
      <c r="M88" s="36"/>
      <c r="N88" s="36"/>
      <c r="O88" s="36"/>
      <c r="P88" s="36"/>
      <c r="Q88" s="36"/>
      <c r="R88" s="36"/>
      <c r="S88" s="36"/>
      <c r="T88" s="36"/>
    </row>
    <row r="89" spans="1:20" s="42" customFormat="1" ht="13.5">
      <c r="A89" s="37" t="s">
        <v>162</v>
      </c>
      <c r="B89" s="37"/>
      <c r="C89" s="204" t="s">
        <v>561</v>
      </c>
      <c r="D89" s="177" t="s">
        <v>391</v>
      </c>
      <c r="E89" s="218">
        <v>1</v>
      </c>
      <c r="F89" s="206"/>
      <c r="G89" s="41"/>
      <c r="H89" s="206"/>
      <c r="I89" s="41"/>
      <c r="J89" s="41"/>
      <c r="K89" s="83"/>
      <c r="L89" s="36"/>
      <c r="M89" s="36"/>
      <c r="N89" s="36"/>
      <c r="O89" s="36"/>
      <c r="P89" s="36"/>
      <c r="Q89" s="36"/>
      <c r="R89" s="36"/>
      <c r="S89" s="36"/>
      <c r="T89" s="36"/>
    </row>
    <row r="90" spans="1:20" s="42" customFormat="1" ht="13.5">
      <c r="A90" s="37" t="s">
        <v>163</v>
      </c>
      <c r="B90" s="37"/>
      <c r="C90" s="204" t="s">
        <v>562</v>
      </c>
      <c r="D90" s="177" t="s">
        <v>391</v>
      </c>
      <c r="E90" s="218">
        <v>1</v>
      </c>
      <c r="F90" s="206"/>
      <c r="G90" s="41"/>
      <c r="H90" s="206"/>
      <c r="I90" s="41"/>
      <c r="J90" s="41"/>
      <c r="K90" s="83"/>
      <c r="L90" s="36"/>
      <c r="M90" s="36"/>
      <c r="N90" s="36"/>
      <c r="O90" s="36"/>
      <c r="P90" s="36"/>
      <c r="Q90" s="36"/>
      <c r="R90" s="36"/>
      <c r="S90" s="36"/>
      <c r="T90" s="36"/>
    </row>
    <row r="91" spans="1:20" s="42" customFormat="1" ht="23.25">
      <c r="A91" s="37" t="s">
        <v>164</v>
      </c>
      <c r="B91" s="37"/>
      <c r="C91" s="277" t="s">
        <v>563</v>
      </c>
      <c r="D91" s="283" t="s">
        <v>391</v>
      </c>
      <c r="E91" s="218">
        <v>1</v>
      </c>
      <c r="F91" s="206"/>
      <c r="G91" s="220"/>
      <c r="H91" s="206"/>
      <c r="I91" s="220"/>
      <c r="J91" s="220"/>
      <c r="K91" s="83"/>
      <c r="L91" s="36"/>
      <c r="M91" s="36"/>
      <c r="N91" s="36"/>
      <c r="O91" s="36"/>
      <c r="P91" s="36"/>
      <c r="Q91" s="36"/>
      <c r="R91" s="36"/>
      <c r="S91" s="36"/>
      <c r="T91" s="36"/>
    </row>
    <row r="92" spans="1:20" s="42" customFormat="1" ht="13.5">
      <c r="A92" s="37" t="s">
        <v>165</v>
      </c>
      <c r="B92" s="37"/>
      <c r="C92" s="204" t="s">
        <v>564</v>
      </c>
      <c r="D92" s="281" t="s">
        <v>189</v>
      </c>
      <c r="E92" s="218">
        <v>60.3</v>
      </c>
      <c r="F92" s="206"/>
      <c r="G92" s="41"/>
      <c r="H92" s="206"/>
      <c r="I92" s="41"/>
      <c r="J92" s="41"/>
      <c r="K92" s="83"/>
      <c r="L92" s="36"/>
      <c r="M92" s="36"/>
      <c r="N92" s="36"/>
      <c r="O92" s="36"/>
      <c r="P92" s="36"/>
      <c r="Q92" s="36"/>
      <c r="R92" s="36"/>
      <c r="S92" s="36"/>
      <c r="T92" s="36"/>
    </row>
    <row r="93" spans="1:20" s="42" customFormat="1" ht="13.5">
      <c r="A93" s="37" t="s">
        <v>166</v>
      </c>
      <c r="B93" s="37"/>
      <c r="C93" s="331" t="s">
        <v>565</v>
      </c>
      <c r="D93" s="314" t="s">
        <v>189</v>
      </c>
      <c r="E93" s="223">
        <v>60.3</v>
      </c>
      <c r="F93" s="315"/>
      <c r="G93" s="41"/>
      <c r="H93" s="315"/>
      <c r="I93" s="41"/>
      <c r="J93" s="41"/>
      <c r="K93" s="83"/>
      <c r="L93" s="36"/>
      <c r="M93" s="36"/>
      <c r="N93" s="36"/>
      <c r="O93" s="36"/>
      <c r="P93" s="36"/>
      <c r="Q93" s="36"/>
      <c r="R93" s="36"/>
      <c r="S93" s="36"/>
      <c r="T93" s="36"/>
    </row>
    <row r="94" spans="1:20" s="42" customFormat="1" ht="13.5">
      <c r="A94" s="37" t="s">
        <v>167</v>
      </c>
      <c r="B94" s="37"/>
      <c r="C94" s="332" t="s">
        <v>530</v>
      </c>
      <c r="D94" s="177" t="s">
        <v>391</v>
      </c>
      <c r="E94" s="178">
        <v>2</v>
      </c>
      <c r="F94" s="41"/>
      <c r="G94" s="41"/>
      <c r="H94" s="41"/>
      <c r="I94" s="41"/>
      <c r="J94" s="41"/>
      <c r="K94" s="83"/>
      <c r="L94" s="36"/>
      <c r="M94" s="36"/>
      <c r="N94" s="36"/>
      <c r="O94" s="36"/>
      <c r="P94" s="36"/>
      <c r="Q94" s="36"/>
      <c r="R94" s="36"/>
      <c r="S94" s="36"/>
      <c r="T94" s="36"/>
    </row>
    <row r="95" spans="1:20" s="42" customFormat="1" ht="13.5">
      <c r="A95" s="100" t="s">
        <v>171</v>
      </c>
      <c r="B95" s="100"/>
      <c r="C95" s="100"/>
      <c r="D95" s="100"/>
      <c r="E95" s="100"/>
      <c r="F95" s="100"/>
      <c r="G95" s="100"/>
      <c r="H95" s="100"/>
      <c r="I95" s="100"/>
      <c r="J95" s="320"/>
      <c r="K95" s="320"/>
      <c r="L95" s="36"/>
      <c r="M95" s="36"/>
      <c r="N95" s="36"/>
      <c r="O95" s="36"/>
      <c r="P95" s="36"/>
      <c r="Q95" s="36"/>
      <c r="R95" s="36"/>
      <c r="S95" s="36"/>
      <c r="T95" s="36"/>
    </row>
    <row r="96" spans="1:20" s="42" customFormat="1" ht="13.5">
      <c r="A96" s="34" t="s">
        <v>172</v>
      </c>
      <c r="B96" s="55" t="s">
        <v>173</v>
      </c>
      <c r="C96" s="55"/>
      <c r="D96" s="55"/>
      <c r="E96" s="55"/>
      <c r="F96" s="55"/>
      <c r="G96" s="55"/>
      <c r="H96" s="55"/>
      <c r="I96" s="55"/>
      <c r="J96" s="55"/>
      <c r="K96" s="55"/>
      <c r="L96" s="36"/>
      <c r="M96" s="36"/>
      <c r="N96" s="36"/>
      <c r="O96" s="36"/>
      <c r="P96" s="36"/>
      <c r="Q96" s="36"/>
      <c r="R96" s="36"/>
      <c r="S96" s="36"/>
      <c r="T96" s="36"/>
    </row>
    <row r="97" spans="1:20" s="42" customFormat="1" ht="13.5">
      <c r="A97" s="37" t="s">
        <v>174</v>
      </c>
      <c r="B97" s="210" t="s">
        <v>194</v>
      </c>
      <c r="C97" s="211" t="s">
        <v>566</v>
      </c>
      <c r="D97" s="177" t="s">
        <v>189</v>
      </c>
      <c r="E97" s="41">
        <v>78.4</v>
      </c>
      <c r="F97" s="41"/>
      <c r="G97" s="41"/>
      <c r="H97" s="41"/>
      <c r="I97" s="41"/>
      <c r="J97" s="41"/>
      <c r="K97" s="83"/>
      <c r="L97" s="36"/>
      <c r="M97" s="278"/>
      <c r="N97" s="228"/>
      <c r="O97" s="36"/>
      <c r="P97" s="36"/>
      <c r="Q97" s="36"/>
      <c r="R97" s="36"/>
      <c r="S97" s="36"/>
      <c r="T97" s="36"/>
    </row>
    <row r="98" spans="1:20" s="42" customFormat="1" ht="13.5">
      <c r="A98" s="37" t="s">
        <v>175</v>
      </c>
      <c r="B98" s="210" t="s">
        <v>569</v>
      </c>
      <c r="C98" s="211" t="s">
        <v>570</v>
      </c>
      <c r="D98" s="177" t="s">
        <v>189</v>
      </c>
      <c r="E98" s="41">
        <v>7.4</v>
      </c>
      <c r="F98" s="41"/>
      <c r="G98" s="41"/>
      <c r="H98" s="41"/>
      <c r="I98" s="41"/>
      <c r="J98" s="41"/>
      <c r="K98" s="83"/>
      <c r="L98" s="36"/>
      <c r="M98" s="278"/>
      <c r="N98" s="228"/>
      <c r="O98" s="36"/>
      <c r="P98" s="36"/>
      <c r="Q98" s="36"/>
      <c r="R98" s="36"/>
      <c r="S98" s="36"/>
      <c r="T98" s="36"/>
    </row>
    <row r="99" spans="1:20" s="42" customFormat="1" ht="13.5">
      <c r="A99" s="37" t="s">
        <v>176</v>
      </c>
      <c r="B99" s="210" t="s">
        <v>573</v>
      </c>
      <c r="C99" s="211" t="s">
        <v>574</v>
      </c>
      <c r="D99" s="177" t="s">
        <v>189</v>
      </c>
      <c r="E99" s="41">
        <v>47.69</v>
      </c>
      <c r="F99" s="41"/>
      <c r="G99" s="41"/>
      <c r="H99" s="41"/>
      <c r="I99" s="41"/>
      <c r="J99" s="41"/>
      <c r="K99" s="83"/>
      <c r="L99" s="36"/>
      <c r="M99" s="278"/>
      <c r="N99" s="228"/>
      <c r="O99" s="36"/>
      <c r="P99" s="36"/>
      <c r="Q99" s="36"/>
      <c r="R99" s="36"/>
      <c r="S99" s="36"/>
      <c r="T99" s="36"/>
    </row>
    <row r="100" spans="1:20" s="42" customFormat="1" ht="13.5">
      <c r="A100" s="37" t="s">
        <v>177</v>
      </c>
      <c r="B100" s="210" t="s">
        <v>579</v>
      </c>
      <c r="C100" s="211" t="s">
        <v>580</v>
      </c>
      <c r="D100" s="177" t="s">
        <v>189</v>
      </c>
      <c r="E100" s="41">
        <v>10.93</v>
      </c>
      <c r="F100" s="41"/>
      <c r="G100" s="41"/>
      <c r="H100" s="41"/>
      <c r="I100" s="41"/>
      <c r="J100" s="41"/>
      <c r="K100" s="83"/>
      <c r="L100" s="36"/>
      <c r="M100" s="278"/>
      <c r="N100" s="228"/>
      <c r="O100" s="36"/>
      <c r="P100" s="36"/>
      <c r="Q100" s="36"/>
      <c r="R100" s="36"/>
      <c r="S100" s="36"/>
      <c r="T100" s="36"/>
    </row>
    <row r="101" spans="1:20" s="42" customFormat="1" ht="13.5">
      <c r="A101" s="37" t="s">
        <v>178</v>
      </c>
      <c r="B101" s="210">
        <v>72557</v>
      </c>
      <c r="C101" s="211" t="s">
        <v>581</v>
      </c>
      <c r="D101" s="177" t="s">
        <v>391</v>
      </c>
      <c r="E101" s="41">
        <v>5</v>
      </c>
      <c r="F101" s="41"/>
      <c r="G101" s="41"/>
      <c r="H101" s="41"/>
      <c r="I101" s="41"/>
      <c r="J101" s="41"/>
      <c r="K101" s="83"/>
      <c r="L101" s="36"/>
      <c r="M101" s="278"/>
      <c r="N101" s="228"/>
      <c r="O101" s="36"/>
      <c r="P101" s="36"/>
      <c r="Q101" s="36"/>
      <c r="R101" s="36"/>
      <c r="S101" s="36"/>
      <c r="T101" s="36"/>
    </row>
    <row r="102" spans="1:20" s="42" customFormat="1" ht="13.5">
      <c r="A102" s="37" t="s">
        <v>179</v>
      </c>
      <c r="B102" s="202">
        <v>72560</v>
      </c>
      <c r="C102" s="211" t="s">
        <v>585</v>
      </c>
      <c r="D102" s="177" t="s">
        <v>391</v>
      </c>
      <c r="E102" s="41">
        <v>3</v>
      </c>
      <c r="F102" s="41"/>
      <c r="G102" s="41"/>
      <c r="H102" s="41"/>
      <c r="I102" s="41"/>
      <c r="J102" s="41"/>
      <c r="K102" s="83"/>
      <c r="L102" s="36"/>
      <c r="M102" s="269"/>
      <c r="N102" s="228"/>
      <c r="O102" s="36"/>
      <c r="P102" s="36"/>
      <c r="Q102" s="36"/>
      <c r="R102" s="36"/>
      <c r="S102" s="36"/>
      <c r="T102" s="36"/>
    </row>
    <row r="103" spans="1:20" s="42" customFormat="1" ht="13.5">
      <c r="A103" s="37" t="s">
        <v>180</v>
      </c>
      <c r="B103" s="202">
        <v>72573</v>
      </c>
      <c r="C103" s="211" t="s">
        <v>587</v>
      </c>
      <c r="D103" s="177" t="s">
        <v>391</v>
      </c>
      <c r="E103" s="41">
        <v>12</v>
      </c>
      <c r="F103" s="41"/>
      <c r="G103" s="41"/>
      <c r="H103" s="41"/>
      <c r="I103" s="41"/>
      <c r="J103" s="41"/>
      <c r="K103" s="83"/>
      <c r="L103" s="36"/>
      <c r="M103" s="269"/>
      <c r="N103" s="228"/>
      <c r="O103" s="36"/>
      <c r="P103" s="36"/>
      <c r="Q103" s="36"/>
      <c r="R103" s="36"/>
      <c r="S103" s="36"/>
      <c r="T103" s="36"/>
    </row>
    <row r="104" spans="1:20" s="42" customFormat="1" ht="13.5">
      <c r="A104" s="37" t="s">
        <v>181</v>
      </c>
      <c r="B104" s="202">
        <v>72580</v>
      </c>
      <c r="C104" s="211" t="s">
        <v>589</v>
      </c>
      <c r="D104" s="177" t="s">
        <v>391</v>
      </c>
      <c r="E104" s="41">
        <v>3</v>
      </c>
      <c r="F104" s="41"/>
      <c r="G104" s="41"/>
      <c r="H104" s="41"/>
      <c r="I104" s="41"/>
      <c r="J104" s="41"/>
      <c r="K104" s="83"/>
      <c r="L104" s="36"/>
      <c r="M104" s="269"/>
      <c r="N104" s="228"/>
      <c r="O104" s="36"/>
      <c r="P104" s="36"/>
      <c r="Q104" s="36"/>
      <c r="R104" s="36"/>
      <c r="S104" s="36"/>
      <c r="T104" s="36"/>
    </row>
    <row r="105" spans="1:20" s="42" customFormat="1" ht="13.5">
      <c r="A105" s="37" t="s">
        <v>182</v>
      </c>
      <c r="B105" s="37"/>
      <c r="C105" s="211" t="s">
        <v>763</v>
      </c>
      <c r="D105" s="177" t="s">
        <v>391</v>
      </c>
      <c r="E105" s="41">
        <v>5</v>
      </c>
      <c r="F105" s="41"/>
      <c r="G105" s="41"/>
      <c r="H105" s="41"/>
      <c r="I105" s="41"/>
      <c r="J105" s="41"/>
      <c r="K105" s="83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s="42" customFormat="1" ht="13.5">
      <c r="A106" s="37" t="s">
        <v>183</v>
      </c>
      <c r="B106" s="37"/>
      <c r="C106" s="211" t="s">
        <v>591</v>
      </c>
      <c r="D106" s="177" t="s">
        <v>391</v>
      </c>
      <c r="E106" s="41">
        <v>5</v>
      </c>
      <c r="F106" s="41"/>
      <c r="G106" s="41"/>
      <c r="H106" s="41"/>
      <c r="I106" s="41"/>
      <c r="J106" s="41"/>
      <c r="K106" s="83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s="42" customFormat="1" ht="13.5">
      <c r="A107" s="37" t="s">
        <v>184</v>
      </c>
      <c r="B107" s="37"/>
      <c r="C107" s="211" t="s">
        <v>595</v>
      </c>
      <c r="D107" s="177" t="s">
        <v>391</v>
      </c>
      <c r="E107" s="41">
        <v>3</v>
      </c>
      <c r="F107" s="41"/>
      <c r="G107" s="41"/>
      <c r="H107" s="41"/>
      <c r="I107" s="41"/>
      <c r="J107" s="41"/>
      <c r="K107" s="83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s="42" customFormat="1" ht="13.5">
      <c r="A108" s="37" t="s">
        <v>226</v>
      </c>
      <c r="B108" s="37"/>
      <c r="C108" s="211" t="s">
        <v>597</v>
      </c>
      <c r="D108" s="177" t="s">
        <v>391</v>
      </c>
      <c r="E108" s="41">
        <v>1</v>
      </c>
      <c r="F108" s="41"/>
      <c r="G108" s="41"/>
      <c r="H108" s="41"/>
      <c r="I108" s="41"/>
      <c r="J108" s="41"/>
      <c r="K108" s="83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s="42" customFormat="1" ht="13.5">
      <c r="A109" s="37" t="s">
        <v>236</v>
      </c>
      <c r="B109" s="37"/>
      <c r="C109" s="211" t="s">
        <v>605</v>
      </c>
      <c r="D109" s="177" t="s">
        <v>391</v>
      </c>
      <c r="E109" s="41">
        <v>1</v>
      </c>
      <c r="F109" s="41"/>
      <c r="G109" s="41"/>
      <c r="H109" s="41"/>
      <c r="I109" s="41"/>
      <c r="J109" s="41"/>
      <c r="K109" s="83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s="42" customFormat="1" ht="13.5">
      <c r="A110" s="37" t="s">
        <v>586</v>
      </c>
      <c r="B110" s="37"/>
      <c r="C110" s="230" t="s">
        <v>772</v>
      </c>
      <c r="D110" s="177" t="s">
        <v>391</v>
      </c>
      <c r="E110" s="41">
        <v>1</v>
      </c>
      <c r="F110" s="41"/>
      <c r="G110" s="41"/>
      <c r="H110" s="41"/>
      <c r="I110" s="41"/>
      <c r="J110" s="41"/>
      <c r="K110" s="83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s="42" customFormat="1" ht="13.5">
      <c r="A111" s="37" t="s">
        <v>588</v>
      </c>
      <c r="B111" s="37"/>
      <c r="C111" s="230" t="s">
        <v>609</v>
      </c>
      <c r="D111" s="177" t="s">
        <v>391</v>
      </c>
      <c r="E111" s="41">
        <v>1</v>
      </c>
      <c r="F111" s="41"/>
      <c r="G111" s="41"/>
      <c r="H111" s="41"/>
      <c r="I111" s="41"/>
      <c r="J111" s="41"/>
      <c r="K111" s="83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s="42" customFormat="1" ht="13.5">
      <c r="A112" s="37" t="s">
        <v>590</v>
      </c>
      <c r="B112" s="37"/>
      <c r="C112" s="211" t="s">
        <v>614</v>
      </c>
      <c r="D112" s="177" t="s">
        <v>391</v>
      </c>
      <c r="E112" s="41">
        <v>1</v>
      </c>
      <c r="F112" s="41"/>
      <c r="G112" s="41"/>
      <c r="H112" s="41"/>
      <c r="I112" s="41"/>
      <c r="J112" s="41"/>
      <c r="K112" s="83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s="42" customFormat="1" ht="13.5">
      <c r="A113" s="37" t="s">
        <v>592</v>
      </c>
      <c r="B113" s="37"/>
      <c r="C113" s="211" t="s">
        <v>620</v>
      </c>
      <c r="D113" s="177" t="s">
        <v>391</v>
      </c>
      <c r="E113" s="41">
        <v>1</v>
      </c>
      <c r="F113" s="41"/>
      <c r="G113" s="41"/>
      <c r="H113" s="41"/>
      <c r="I113" s="41"/>
      <c r="J113" s="41"/>
      <c r="K113" s="83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42" customFormat="1" ht="13.5">
      <c r="A114" s="37" t="s">
        <v>594</v>
      </c>
      <c r="B114" s="37"/>
      <c r="C114" s="211" t="s">
        <v>624</v>
      </c>
      <c r="D114" s="177" t="s">
        <v>391</v>
      </c>
      <c r="E114" s="41">
        <v>1</v>
      </c>
      <c r="F114" s="41"/>
      <c r="G114" s="41"/>
      <c r="H114" s="41"/>
      <c r="I114" s="41"/>
      <c r="J114" s="41"/>
      <c r="K114" s="83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42" customFormat="1" ht="13.5">
      <c r="A115" s="37" t="s">
        <v>596</v>
      </c>
      <c r="B115" s="37"/>
      <c r="C115" s="211" t="s">
        <v>628</v>
      </c>
      <c r="D115" s="177" t="s">
        <v>391</v>
      </c>
      <c r="E115" s="41">
        <v>5</v>
      </c>
      <c r="F115" s="41"/>
      <c r="G115" s="41"/>
      <c r="H115" s="41"/>
      <c r="I115" s="41"/>
      <c r="J115" s="41"/>
      <c r="K115" s="83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s="42" customFormat="1" ht="13.5">
      <c r="A116" s="37" t="s">
        <v>598</v>
      </c>
      <c r="B116" s="37"/>
      <c r="C116" s="211" t="s">
        <v>632</v>
      </c>
      <c r="D116" s="177" t="s">
        <v>391</v>
      </c>
      <c r="E116" s="41">
        <v>1</v>
      </c>
      <c r="F116" s="41"/>
      <c r="G116" s="41"/>
      <c r="H116" s="41"/>
      <c r="I116" s="41"/>
      <c r="J116" s="41"/>
      <c r="K116" s="83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s="42" customFormat="1" ht="13.5">
      <c r="A117" s="37" t="s">
        <v>600</v>
      </c>
      <c r="B117" s="37"/>
      <c r="C117" s="211" t="s">
        <v>637</v>
      </c>
      <c r="D117" s="177" t="s">
        <v>391</v>
      </c>
      <c r="E117" s="41">
        <v>1</v>
      </c>
      <c r="F117" s="41"/>
      <c r="G117" s="41"/>
      <c r="H117" s="41"/>
      <c r="I117" s="41"/>
      <c r="J117" s="41"/>
      <c r="K117" s="83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s="42" customFormat="1" ht="13.5">
      <c r="A118" s="37" t="s">
        <v>602</v>
      </c>
      <c r="B118" s="37"/>
      <c r="C118" s="211" t="s">
        <v>639</v>
      </c>
      <c r="D118" s="177" t="s">
        <v>391</v>
      </c>
      <c r="E118" s="41">
        <v>1</v>
      </c>
      <c r="F118" s="41"/>
      <c r="G118" s="41"/>
      <c r="H118" s="41"/>
      <c r="I118" s="41"/>
      <c r="J118" s="41"/>
      <c r="K118" s="83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s="42" customFormat="1" ht="13.5">
      <c r="A119" s="37" t="s">
        <v>604</v>
      </c>
      <c r="B119" s="37"/>
      <c r="C119" s="211" t="s">
        <v>641</v>
      </c>
      <c r="D119" s="177" t="s">
        <v>391</v>
      </c>
      <c r="E119" s="41">
        <v>1</v>
      </c>
      <c r="F119" s="41"/>
      <c r="G119" s="41"/>
      <c r="H119" s="41"/>
      <c r="I119" s="41"/>
      <c r="J119" s="41"/>
      <c r="K119" s="83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s="42" customFormat="1" ht="13.5">
      <c r="A120" s="37" t="s">
        <v>606</v>
      </c>
      <c r="B120" s="37"/>
      <c r="C120" s="211" t="s">
        <v>643</v>
      </c>
      <c r="D120" s="177" t="s">
        <v>391</v>
      </c>
      <c r="E120" s="41">
        <v>1</v>
      </c>
      <c r="F120" s="41"/>
      <c r="G120" s="41"/>
      <c r="H120" s="41"/>
      <c r="I120" s="41"/>
      <c r="J120" s="41"/>
      <c r="K120" s="83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ht="14.25">
      <c r="A121" s="67" t="s">
        <v>272</v>
      </c>
      <c r="B121" s="67"/>
      <c r="C121" s="67"/>
      <c r="D121" s="67"/>
      <c r="E121" s="67"/>
      <c r="F121" s="67"/>
      <c r="G121" s="67"/>
      <c r="H121" s="67"/>
      <c r="I121" s="67"/>
      <c r="J121" s="267"/>
      <c r="K121" s="260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2" s="73" customFormat="1" ht="13.5">
      <c r="A122" s="69" t="s">
        <v>273</v>
      </c>
      <c r="B122" s="70" t="s">
        <v>274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1"/>
      <c r="M122" s="72"/>
      <c r="N122" s="72"/>
      <c r="O122" s="72"/>
      <c r="P122" s="72"/>
      <c r="Q122" s="72"/>
      <c r="R122" s="72"/>
      <c r="S122" s="72"/>
      <c r="T122" s="72"/>
      <c r="U122" s="72"/>
      <c r="V122" s="72"/>
    </row>
    <row r="123" spans="1:22" s="194" customFormat="1" ht="14.25">
      <c r="A123" s="74" t="s">
        <v>275</v>
      </c>
      <c r="B123" s="120">
        <v>72075</v>
      </c>
      <c r="C123" s="76" t="s">
        <v>647</v>
      </c>
      <c r="D123" s="75" t="s">
        <v>23</v>
      </c>
      <c r="E123" s="41">
        <f>E137+E140</f>
        <v>307.109</v>
      </c>
      <c r="F123" s="76"/>
      <c r="G123" s="41"/>
      <c r="H123" s="76"/>
      <c r="I123" s="41"/>
      <c r="J123" s="41"/>
      <c r="K123" s="41"/>
      <c r="L123" s="71"/>
      <c r="M123" s="72"/>
      <c r="N123" s="72"/>
      <c r="O123" s="72"/>
      <c r="P123" s="72"/>
      <c r="Q123" s="72"/>
      <c r="R123" s="72"/>
      <c r="S123" s="72"/>
      <c r="T123" s="72"/>
      <c r="U123" s="72"/>
      <c r="V123" s="72"/>
    </row>
    <row r="124" spans="1:22" s="73" customFormat="1" ht="14.25">
      <c r="A124" s="79" t="s">
        <v>285</v>
      </c>
      <c r="B124" s="79"/>
      <c r="C124" s="79"/>
      <c r="D124" s="79"/>
      <c r="E124" s="79"/>
      <c r="F124" s="79"/>
      <c r="G124" s="79"/>
      <c r="H124" s="79"/>
      <c r="I124" s="79"/>
      <c r="J124" s="267"/>
      <c r="K124" s="267"/>
      <c r="L124" s="80"/>
      <c r="M124" s="72"/>
      <c r="N124" s="72"/>
      <c r="O124" s="72"/>
      <c r="P124" s="72"/>
      <c r="Q124" s="72"/>
      <c r="R124" s="72"/>
      <c r="S124" s="72"/>
      <c r="T124" s="72"/>
      <c r="U124" s="72"/>
      <c r="V124" s="72"/>
    </row>
    <row r="125" spans="1:20" ht="13.5">
      <c r="A125" s="34" t="s">
        <v>286</v>
      </c>
      <c r="B125" s="35" t="s">
        <v>287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s="42" customFormat="1" ht="13.5">
      <c r="A126" s="118" t="s">
        <v>288</v>
      </c>
      <c r="B126" s="118"/>
      <c r="C126" s="333" t="s">
        <v>648</v>
      </c>
      <c r="D126" s="342" t="s">
        <v>391</v>
      </c>
      <c r="E126" s="119">
        <v>1</v>
      </c>
      <c r="F126" s="343"/>
      <c r="G126" s="322"/>
      <c r="H126" s="322"/>
      <c r="I126" s="322"/>
      <c r="J126" s="322"/>
      <c r="K126" s="141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s="42" customFormat="1" ht="13.5">
      <c r="A127" s="118" t="s">
        <v>289</v>
      </c>
      <c r="B127" s="118"/>
      <c r="C127" s="333" t="s">
        <v>649</v>
      </c>
      <c r="D127" s="342" t="s">
        <v>391</v>
      </c>
      <c r="E127" s="119">
        <v>1</v>
      </c>
      <c r="F127" s="343"/>
      <c r="G127" s="322"/>
      <c r="H127" s="322"/>
      <c r="I127" s="322"/>
      <c r="J127" s="322"/>
      <c r="K127" s="141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s="42" customFormat="1" ht="13.5">
      <c r="A128" s="118" t="s">
        <v>290</v>
      </c>
      <c r="B128" s="118"/>
      <c r="C128" s="344" t="s">
        <v>655</v>
      </c>
      <c r="D128" s="342" t="s">
        <v>391</v>
      </c>
      <c r="E128" s="41">
        <v>1</v>
      </c>
      <c r="F128" s="142"/>
      <c r="G128" s="322"/>
      <c r="H128" s="142"/>
      <c r="I128" s="322"/>
      <c r="J128" s="322"/>
      <c r="K128" s="141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11" ht="14.25">
      <c r="A129" s="67" t="s">
        <v>298</v>
      </c>
      <c r="B129" s="67"/>
      <c r="C129" s="67"/>
      <c r="D129" s="67"/>
      <c r="E129" s="67"/>
      <c r="F129" s="67"/>
      <c r="G129" s="67"/>
      <c r="H129" s="67"/>
      <c r="I129" s="67"/>
      <c r="J129" s="267"/>
      <c r="K129" s="260"/>
    </row>
    <row r="130" spans="1:20" ht="13.5">
      <c r="A130" s="34" t="s">
        <v>299</v>
      </c>
      <c r="B130" s="35" t="s">
        <v>300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s="42" customFormat="1" ht="13.5">
      <c r="A131" s="37" t="s">
        <v>301</v>
      </c>
      <c r="B131" s="120">
        <v>5974</v>
      </c>
      <c r="C131" s="44" t="s">
        <v>656</v>
      </c>
      <c r="D131" s="40" t="s">
        <v>23</v>
      </c>
      <c r="E131" s="41">
        <f>(E53+E54)*2</f>
        <v>379.01699999999994</v>
      </c>
      <c r="F131" s="41"/>
      <c r="G131" s="41"/>
      <c r="H131" s="41"/>
      <c r="I131" s="41"/>
      <c r="J131" s="41"/>
      <c r="K131" s="41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s="42" customFormat="1" ht="13.5">
      <c r="A132" s="37" t="s">
        <v>303</v>
      </c>
      <c r="B132" s="120">
        <v>5975</v>
      </c>
      <c r="C132" s="44" t="s">
        <v>657</v>
      </c>
      <c r="D132" s="40" t="s">
        <v>23</v>
      </c>
      <c r="E132" s="41">
        <f>E13-(13.75*4)</f>
        <v>58.290000000000006</v>
      </c>
      <c r="F132" s="41"/>
      <c r="G132" s="41"/>
      <c r="H132" s="41"/>
      <c r="I132" s="41"/>
      <c r="J132" s="41"/>
      <c r="K132" s="41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s="42" customFormat="1" ht="23.25">
      <c r="A133" s="37" t="s">
        <v>304</v>
      </c>
      <c r="B133" s="120">
        <v>5982</v>
      </c>
      <c r="C133" s="44" t="s">
        <v>658</v>
      </c>
      <c r="D133" s="40" t="s">
        <v>23</v>
      </c>
      <c r="E133" s="41">
        <f>E132</f>
        <v>58.290000000000006</v>
      </c>
      <c r="F133" s="41"/>
      <c r="G133" s="41"/>
      <c r="H133" s="41"/>
      <c r="I133" s="41"/>
      <c r="J133" s="41"/>
      <c r="K133" s="41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s="42" customFormat="1" ht="23.25">
      <c r="A134" s="37" t="s">
        <v>305</v>
      </c>
      <c r="B134" s="120">
        <v>5992</v>
      </c>
      <c r="C134" s="44" t="s">
        <v>659</v>
      </c>
      <c r="D134" s="40" t="s">
        <v>23</v>
      </c>
      <c r="E134" s="41">
        <f>E131</f>
        <v>379.01699999999994</v>
      </c>
      <c r="F134" s="41"/>
      <c r="G134" s="41"/>
      <c r="H134" s="41"/>
      <c r="I134" s="41"/>
      <c r="J134" s="41"/>
      <c r="K134" s="41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s="42" customFormat="1" ht="15" customHeight="1">
      <c r="A135" s="37" t="s">
        <v>306</v>
      </c>
      <c r="B135" s="334">
        <v>9536</v>
      </c>
      <c r="C135" s="335" t="s">
        <v>663</v>
      </c>
      <c r="D135" s="61" t="s">
        <v>23</v>
      </c>
      <c r="E135" s="295">
        <f>2*4.2</f>
        <v>8.4</v>
      </c>
      <c r="F135" s="41"/>
      <c r="G135" s="41"/>
      <c r="H135" s="41"/>
      <c r="I135" s="41"/>
      <c r="J135" s="41"/>
      <c r="K135" s="41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s="42" customFormat="1" ht="15" customHeight="1">
      <c r="A136" s="37" t="s">
        <v>307</v>
      </c>
      <c r="B136" s="302" t="s">
        <v>664</v>
      </c>
      <c r="C136" s="303" t="s">
        <v>665</v>
      </c>
      <c r="D136" s="304" t="s">
        <v>23</v>
      </c>
      <c r="E136" s="301">
        <v>98.24</v>
      </c>
      <c r="F136" s="41"/>
      <c r="G136" s="41"/>
      <c r="H136" s="41"/>
      <c r="I136" s="41"/>
      <c r="J136" s="41"/>
      <c r="K136" s="41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s="42" customFormat="1" ht="23.25">
      <c r="A137" s="37" t="s">
        <v>308</v>
      </c>
      <c r="B137" s="336" t="s">
        <v>838</v>
      </c>
      <c r="C137" s="312" t="s">
        <v>839</v>
      </c>
      <c r="D137" s="337" t="s">
        <v>23</v>
      </c>
      <c r="E137" s="98">
        <f>E13*1.1</f>
        <v>124.61900000000001</v>
      </c>
      <c r="F137" s="41"/>
      <c r="G137" s="41"/>
      <c r="H137" s="41"/>
      <c r="I137" s="41"/>
      <c r="J137" s="41"/>
      <c r="K137" s="41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s="42" customFormat="1" ht="13.5">
      <c r="A138" s="37" t="s">
        <v>309</v>
      </c>
      <c r="B138" s="120" t="s">
        <v>674</v>
      </c>
      <c r="C138" s="249" t="s">
        <v>675</v>
      </c>
      <c r="D138" s="40" t="s">
        <v>189</v>
      </c>
      <c r="E138" s="41">
        <f>1.5*1.1</f>
        <v>1.6500000000000001</v>
      </c>
      <c r="F138" s="41"/>
      <c r="G138" s="41"/>
      <c r="H138" s="41"/>
      <c r="I138" s="41"/>
      <c r="J138" s="41"/>
      <c r="K138" s="41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s="42" customFormat="1" ht="13.5">
      <c r="A139" s="37" t="s">
        <v>310</v>
      </c>
      <c r="B139" s="120" t="s">
        <v>677</v>
      </c>
      <c r="C139" s="46" t="s">
        <v>678</v>
      </c>
      <c r="D139" s="40" t="s">
        <v>189</v>
      </c>
      <c r="E139" s="41">
        <f>((1.8*1)+(0.8*4)+(0.8*4))*1.1</f>
        <v>9.02</v>
      </c>
      <c r="F139" s="41"/>
      <c r="G139" s="41"/>
      <c r="H139" s="41"/>
      <c r="I139" s="41"/>
      <c r="J139" s="41"/>
      <c r="K139" s="41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s="42" customFormat="1" ht="23.25">
      <c r="A140" s="37" t="s">
        <v>311</v>
      </c>
      <c r="B140" s="120" t="s">
        <v>838</v>
      </c>
      <c r="C140" s="307" t="s">
        <v>840</v>
      </c>
      <c r="D140" s="40" t="s">
        <v>23</v>
      </c>
      <c r="E140" s="301">
        <f>(1.4*((10*4)+(16*4)+14.5))*1.1</f>
        <v>182.48999999999998</v>
      </c>
      <c r="F140" s="41"/>
      <c r="G140" s="41"/>
      <c r="H140" s="41"/>
      <c r="I140" s="41"/>
      <c r="J140" s="41"/>
      <c r="K140" s="41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3.5">
      <c r="A141" s="67" t="s">
        <v>313</v>
      </c>
      <c r="B141" s="67"/>
      <c r="C141" s="67"/>
      <c r="D141" s="67"/>
      <c r="E141" s="67"/>
      <c r="F141" s="67"/>
      <c r="G141" s="67"/>
      <c r="H141" s="67"/>
      <c r="I141" s="67"/>
      <c r="J141" s="53"/>
      <c r="K141" s="53"/>
      <c r="L141" s="68"/>
      <c r="M141" s="36"/>
      <c r="N141" s="36"/>
      <c r="O141" s="36"/>
      <c r="P141" s="36"/>
      <c r="Q141" s="36"/>
      <c r="R141" s="36"/>
      <c r="S141" s="36"/>
      <c r="T141" s="36"/>
    </row>
    <row r="142" spans="1:21" s="73" customFormat="1" ht="13.5">
      <c r="A142" s="69" t="s">
        <v>314</v>
      </c>
      <c r="B142" s="85" t="s">
        <v>315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71"/>
      <c r="M142" s="72"/>
      <c r="N142" s="72"/>
      <c r="O142" s="72"/>
      <c r="P142" s="72"/>
      <c r="Q142" s="72"/>
      <c r="R142" s="72"/>
      <c r="S142" s="72"/>
      <c r="T142" s="72"/>
      <c r="U142" s="72"/>
    </row>
    <row r="143" spans="1:21" s="73" customFormat="1" ht="13.5">
      <c r="A143" s="74" t="s">
        <v>316</v>
      </c>
      <c r="B143" s="253">
        <v>72116</v>
      </c>
      <c r="C143" s="76" t="s">
        <v>858</v>
      </c>
      <c r="D143" s="75" t="s">
        <v>23</v>
      </c>
      <c r="E143" s="41">
        <f>0.6*0.6*4</f>
        <v>1.4400000000000004</v>
      </c>
      <c r="F143" s="41"/>
      <c r="G143" s="41"/>
      <c r="H143" s="41"/>
      <c r="I143" s="41"/>
      <c r="J143" s="41"/>
      <c r="K143" s="41"/>
      <c r="L143" s="71"/>
      <c r="M143" s="72"/>
      <c r="N143" s="72"/>
      <c r="O143" s="72"/>
      <c r="P143" s="72"/>
      <c r="Q143" s="72"/>
      <c r="R143" s="72"/>
      <c r="S143" s="72"/>
      <c r="T143" s="72"/>
      <c r="U143" s="72"/>
    </row>
    <row r="144" spans="1:21" s="78" customFormat="1" ht="13.5">
      <c r="A144" s="74" t="s">
        <v>317</v>
      </c>
      <c r="B144" s="253">
        <v>72116</v>
      </c>
      <c r="C144" s="76" t="s">
        <v>842</v>
      </c>
      <c r="D144" s="75" t="s">
        <v>23</v>
      </c>
      <c r="E144" s="41">
        <f>1.5*1.2</f>
        <v>1.7999999999999998</v>
      </c>
      <c r="F144" s="41"/>
      <c r="G144" s="41"/>
      <c r="H144" s="41"/>
      <c r="I144" s="41"/>
      <c r="J144" s="41"/>
      <c r="K144" s="41"/>
      <c r="L144" s="71"/>
      <c r="M144" s="72"/>
      <c r="N144" s="72"/>
      <c r="O144" s="72"/>
      <c r="P144" s="72"/>
      <c r="Q144" s="72"/>
      <c r="R144" s="72"/>
      <c r="S144" s="72"/>
      <c r="T144" s="72"/>
      <c r="U144" s="72"/>
    </row>
    <row r="145" spans="1:21" s="73" customFormat="1" ht="13.5">
      <c r="A145" s="122" t="s">
        <v>326</v>
      </c>
      <c r="B145" s="122"/>
      <c r="C145" s="122"/>
      <c r="D145" s="122"/>
      <c r="E145" s="122"/>
      <c r="F145" s="122"/>
      <c r="G145" s="122"/>
      <c r="H145" s="122"/>
      <c r="I145" s="122"/>
      <c r="J145" s="53"/>
      <c r="K145" s="53"/>
      <c r="L145" s="80"/>
      <c r="M145" s="72"/>
      <c r="N145" s="72"/>
      <c r="O145" s="72"/>
      <c r="P145" s="72"/>
      <c r="Q145" s="72"/>
      <c r="R145" s="72"/>
      <c r="S145" s="72"/>
      <c r="T145" s="72"/>
      <c r="U145" s="72"/>
    </row>
    <row r="146" spans="1:20" s="42" customFormat="1" ht="13.5">
      <c r="A146" s="34" t="s">
        <v>327</v>
      </c>
      <c r="B146" s="123" t="s">
        <v>328</v>
      </c>
      <c r="C146" s="123"/>
      <c r="D146" s="123"/>
      <c r="E146" s="123"/>
      <c r="F146" s="123"/>
      <c r="G146" s="123"/>
      <c r="H146" s="123"/>
      <c r="I146" s="123"/>
      <c r="J146" s="123"/>
      <c r="K146" s="123"/>
      <c r="L146" s="68"/>
      <c r="M146" s="36"/>
      <c r="N146" s="36"/>
      <c r="O146" s="36"/>
      <c r="P146" s="36"/>
      <c r="Q146" s="36"/>
      <c r="R146" s="36"/>
      <c r="S146" s="36"/>
      <c r="T146" s="36"/>
    </row>
    <row r="147" spans="1:20" s="42" customFormat="1" ht="13.5">
      <c r="A147" s="37" t="s">
        <v>329</v>
      </c>
      <c r="B147" s="38" t="s">
        <v>692</v>
      </c>
      <c r="C147" s="46" t="s">
        <v>693</v>
      </c>
      <c r="D147" s="40" t="s">
        <v>23</v>
      </c>
      <c r="E147" s="41">
        <f>E131+E132-(E140/1.1)</f>
        <v>271.407</v>
      </c>
      <c r="F147" s="41"/>
      <c r="G147" s="41"/>
      <c r="H147" s="41"/>
      <c r="I147" s="41"/>
      <c r="J147" s="41"/>
      <c r="K147" s="41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s="42" customFormat="1" ht="13.5">
      <c r="A148" s="37" t="s">
        <v>330</v>
      </c>
      <c r="B148" s="38" t="s">
        <v>694</v>
      </c>
      <c r="C148" s="46" t="s">
        <v>695</v>
      </c>
      <c r="D148" s="40" t="s">
        <v>23</v>
      </c>
      <c r="E148" s="41">
        <f>E147</f>
        <v>271.407</v>
      </c>
      <c r="F148" s="41"/>
      <c r="G148" s="41"/>
      <c r="H148" s="41"/>
      <c r="I148" s="41"/>
      <c r="J148" s="41"/>
      <c r="K148" s="41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s="42" customFormat="1" ht="13.5">
      <c r="A149" s="37" t="s">
        <v>331</v>
      </c>
      <c r="B149" s="38" t="s">
        <v>696</v>
      </c>
      <c r="C149" s="46" t="s">
        <v>697</v>
      </c>
      <c r="D149" s="40" t="s">
        <v>23</v>
      </c>
      <c r="E149" s="41">
        <f>E135*1.15</f>
        <v>9.66</v>
      </c>
      <c r="F149" s="41"/>
      <c r="G149" s="41"/>
      <c r="H149" s="41"/>
      <c r="I149" s="41"/>
      <c r="J149" s="41"/>
      <c r="K149" s="41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s="42" customFormat="1" ht="14.25">
      <c r="A150" s="67" t="s">
        <v>339</v>
      </c>
      <c r="B150" s="67"/>
      <c r="C150" s="67"/>
      <c r="D150" s="67"/>
      <c r="E150" s="67"/>
      <c r="F150" s="67"/>
      <c r="G150" s="67"/>
      <c r="H150" s="67"/>
      <c r="I150" s="67"/>
      <c r="J150" s="267"/>
      <c r="K150" s="267"/>
      <c r="L150" s="68"/>
      <c r="M150" s="36"/>
      <c r="N150" s="36"/>
      <c r="O150" s="36"/>
      <c r="P150" s="36"/>
      <c r="Q150" s="36"/>
      <c r="R150" s="36"/>
      <c r="S150" s="36"/>
      <c r="T150" s="36"/>
    </row>
    <row r="151" spans="1:22" s="73" customFormat="1" ht="13.5">
      <c r="A151" s="69" t="s">
        <v>340</v>
      </c>
      <c r="B151" s="70" t="s">
        <v>341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1"/>
      <c r="M151" s="72"/>
      <c r="N151" s="72"/>
      <c r="O151" s="72"/>
      <c r="P151" s="72"/>
      <c r="Q151" s="72"/>
      <c r="R151" s="72"/>
      <c r="S151" s="72"/>
      <c r="T151" s="72"/>
      <c r="U151" s="72"/>
      <c r="V151" s="72"/>
    </row>
    <row r="152" spans="1:22" s="73" customFormat="1" ht="13.5">
      <c r="A152" s="69" t="s">
        <v>342</v>
      </c>
      <c r="B152" s="139" t="s">
        <v>354</v>
      </c>
      <c r="C152" s="131" t="s">
        <v>699</v>
      </c>
      <c r="D152" s="140" t="s">
        <v>23</v>
      </c>
      <c r="E152" s="41">
        <f>159.36-106.56</f>
        <v>52.80000000000001</v>
      </c>
      <c r="F152" s="141"/>
      <c r="G152" s="41"/>
      <c r="H152" s="41"/>
      <c r="I152" s="41"/>
      <c r="J152" s="41"/>
      <c r="K152" s="41"/>
      <c r="L152" s="71"/>
      <c r="M152" s="72"/>
      <c r="N152" s="72"/>
      <c r="O152" s="72"/>
      <c r="P152" s="72"/>
      <c r="Q152" s="72"/>
      <c r="R152" s="72"/>
      <c r="S152" s="72"/>
      <c r="T152" s="72"/>
      <c r="U152" s="72"/>
      <c r="V152" s="72"/>
    </row>
    <row r="153" spans="1:22" s="73" customFormat="1" ht="13.5">
      <c r="A153" s="69" t="s">
        <v>344</v>
      </c>
      <c r="B153" s="345" t="s">
        <v>185</v>
      </c>
      <c r="C153" s="294" t="s">
        <v>357</v>
      </c>
      <c r="D153" s="140" t="s">
        <v>189</v>
      </c>
      <c r="E153" s="41">
        <v>90.3</v>
      </c>
      <c r="F153" s="141">
        <f>Geral!F248</f>
        <v>0</v>
      </c>
      <c r="G153" s="41"/>
      <c r="H153" s="41">
        <f>Geral!H248</f>
        <v>0</v>
      </c>
      <c r="I153" s="41"/>
      <c r="J153" s="41"/>
      <c r="K153" s="41"/>
      <c r="L153" s="71"/>
      <c r="M153" s="72"/>
      <c r="N153" s="72"/>
      <c r="O153" s="72"/>
      <c r="P153" s="72"/>
      <c r="Q153" s="72"/>
      <c r="R153" s="72"/>
      <c r="S153" s="72"/>
      <c r="T153" s="72"/>
      <c r="U153" s="72"/>
      <c r="V153" s="72"/>
    </row>
    <row r="154" spans="1:22" s="73" customFormat="1" ht="14.25">
      <c r="A154" s="79" t="s">
        <v>405</v>
      </c>
      <c r="B154" s="79"/>
      <c r="C154" s="79"/>
      <c r="D154" s="79"/>
      <c r="E154" s="79"/>
      <c r="F154" s="79"/>
      <c r="G154" s="79"/>
      <c r="H154" s="79"/>
      <c r="I154" s="79"/>
      <c r="J154" s="267"/>
      <c r="K154" s="267"/>
      <c r="L154" s="80"/>
      <c r="M154" s="72"/>
      <c r="N154" s="72"/>
      <c r="O154" s="72"/>
      <c r="P154" s="72"/>
      <c r="Q154" s="72"/>
      <c r="R154" s="72"/>
      <c r="S154" s="72"/>
      <c r="T154" s="72"/>
      <c r="U154" s="72"/>
      <c r="V154" s="72"/>
    </row>
    <row r="155" spans="1:12" ht="13.5">
      <c r="A155" s="34" t="s">
        <v>406</v>
      </c>
      <c r="B155" s="143" t="s">
        <v>407</v>
      </c>
      <c r="C155" s="143"/>
      <c r="D155" s="143"/>
      <c r="E155" s="143"/>
      <c r="F155" s="143"/>
      <c r="G155" s="143"/>
      <c r="H155" s="143"/>
      <c r="I155" s="143"/>
      <c r="J155" s="143"/>
      <c r="K155" s="143"/>
      <c r="L155" s="144"/>
    </row>
    <row r="156" spans="1:11" s="42" customFormat="1" ht="13.5">
      <c r="A156" s="37" t="s">
        <v>408</v>
      </c>
      <c r="B156" s="120">
        <v>9537</v>
      </c>
      <c r="C156" s="36" t="s">
        <v>700</v>
      </c>
      <c r="D156" s="40" t="s">
        <v>23</v>
      </c>
      <c r="E156" s="301">
        <f>E13</f>
        <v>113.29</v>
      </c>
      <c r="F156" s="41"/>
      <c r="G156" s="41"/>
      <c r="H156" s="41"/>
      <c r="I156" s="41"/>
      <c r="J156" s="41"/>
      <c r="K156" s="41"/>
    </row>
    <row r="157" spans="1:11" ht="14.25">
      <c r="A157" s="67" t="s">
        <v>424</v>
      </c>
      <c r="B157" s="67"/>
      <c r="C157" s="67"/>
      <c r="D157" s="67"/>
      <c r="E157" s="67"/>
      <c r="F157" s="67"/>
      <c r="G157" s="67"/>
      <c r="H157" s="67"/>
      <c r="I157" s="67"/>
      <c r="J157" s="267"/>
      <c r="K157" s="260"/>
    </row>
    <row r="158" spans="1:11" s="151" customFormat="1" ht="13.5">
      <c r="A158" s="148"/>
      <c r="B158" s="149"/>
      <c r="C158" s="150"/>
      <c r="D158" s="150"/>
      <c r="E158" s="150"/>
      <c r="F158" s="150"/>
      <c r="G158" s="150"/>
      <c r="H158" s="150"/>
      <c r="I158" s="150"/>
      <c r="J158" s="150"/>
      <c r="K158" s="150"/>
    </row>
    <row r="159" spans="1:11" s="154" customFormat="1" ht="15.75">
      <c r="A159" s="152" t="s">
        <v>425</v>
      </c>
      <c r="B159" s="152"/>
      <c r="C159" s="152"/>
      <c r="D159" s="152"/>
      <c r="E159" s="152"/>
      <c r="F159" s="152"/>
      <c r="G159" s="152"/>
      <c r="H159" s="152"/>
      <c r="I159" s="152"/>
      <c r="J159" s="153"/>
      <c r="K159" s="153"/>
    </row>
  </sheetData>
  <sheetProtection selectLockedCells="1" selectUnlockedCells="1"/>
  <mergeCells count="48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O9"/>
    <mergeCell ref="P9:T9"/>
    <mergeCell ref="B11:K11"/>
    <mergeCell ref="A14:I14"/>
    <mergeCell ref="B15:K15"/>
    <mergeCell ref="A22:I22"/>
    <mergeCell ref="B23:K23"/>
    <mergeCell ref="A32:I32"/>
    <mergeCell ref="B33:K33"/>
    <mergeCell ref="A51:I51"/>
    <mergeCell ref="B52:K52"/>
    <mergeCell ref="A56:I56"/>
    <mergeCell ref="B57:K57"/>
    <mergeCell ref="A65:I65"/>
    <mergeCell ref="B66:K66"/>
    <mergeCell ref="A72:I72"/>
    <mergeCell ref="B73:K73"/>
    <mergeCell ref="A86:I86"/>
    <mergeCell ref="B87:K87"/>
    <mergeCell ref="A95:I95"/>
    <mergeCell ref="B96:K96"/>
    <mergeCell ref="A121:I121"/>
    <mergeCell ref="B122:K122"/>
    <mergeCell ref="A124:I124"/>
    <mergeCell ref="B125:K125"/>
    <mergeCell ref="A129:I129"/>
    <mergeCell ref="B130:K130"/>
    <mergeCell ref="A141:I141"/>
    <mergeCell ref="B142:K142"/>
    <mergeCell ref="A145:I145"/>
    <mergeCell ref="B146:K146"/>
    <mergeCell ref="A150:I150"/>
    <mergeCell ref="B151:K151"/>
    <mergeCell ref="A154:I154"/>
    <mergeCell ref="B155:K155"/>
    <mergeCell ref="A157:I157"/>
    <mergeCell ref="C158:K158"/>
    <mergeCell ref="A159:I159"/>
  </mergeCells>
  <printOptions/>
  <pageMargins left="0.5118055555555555" right="0.5118055555555555" top="0.7875" bottom="0.7875" header="0.5118055555555555" footer="0.31527777777777777"/>
  <pageSetup fitToHeight="10" fitToWidth="1" horizontalDpi="300" verticalDpi="300" orientation="landscape" paperSize="77"/>
  <headerFooter alignWithMargins="0">
    <oddFooter>&amp;L&amp;"Calibri,Regular"&amp;11DESCARTE&amp;C&amp;"Calibri,Regular"&amp;11Página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2012-11-28T17:34:11Z</dcterms:modified>
  <cp:category/>
  <cp:version/>
  <cp:contentType/>
  <cp:contentStatus/>
</cp:coreProperties>
</file>